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opt\Dropbox\Delivery Excel Docs\"/>
    </mc:Choice>
  </mc:AlternateContent>
  <xr:revisionPtr revIDLastSave="0" documentId="13_ncr:1_{EC70E498-63B2-4C97-8915-78AF3CBA282C}" xr6:coauthVersionLast="47" xr6:coauthVersionMax="47" xr10:uidLastSave="{00000000-0000-0000-0000-000000000000}"/>
  <bookViews>
    <workbookView xWindow="38280" yWindow="-120" windowWidth="38640" windowHeight="21120" tabRatio="750" activeTab="5" xr2:uid="{00000000-000D-0000-FFFF-FFFF00000000}"/>
  </bookViews>
  <sheets>
    <sheet name="Data" sheetId="2" r:id="rId1"/>
    <sheet name="Pivot Tables" sheetId="22" r:id="rId2"/>
    <sheet name="Charts" sheetId="23" r:id="rId3"/>
    <sheet name="Power Map" sheetId="25" r:id="rId4"/>
    <sheet name="Personal Statistics" sheetId="11" r:id="rId5"/>
    <sheet name="Weekday Statistics" sheetId="15" r:id="rId6"/>
  </sheets>
  <definedNames>
    <definedName name="_xlcn.WorksheetConnection_OrdersA1AD3721" hidden="1">Data!$A$5:$W$376</definedName>
    <definedName name="_xlcn.WorksheetConnection_OrdersA1U3721" hidden="1">Data!$A$5:$Q$376</definedName>
    <definedName name="_xlcn.WorksheetConnection_Table31" hidden="1">Table3[]</definedName>
    <definedName name="DefChoice">Data!$U$5:$U$6</definedName>
    <definedName name="DefCity">Data!$S$5:$S$10</definedName>
    <definedName name="DefCommunity">Data!$W$5:$W$10</definedName>
    <definedName name="DefDeliveryFee">Data!$Z$5:$Z$8</definedName>
    <definedName name="DefHousing">Data!$AB$5:$AB$8</definedName>
    <definedName name="DefRace">Data!#REF!</definedName>
    <definedName name="DefSex">Data!#REF!</definedName>
    <definedName name="Table">Table3[]</definedName>
  </definedNames>
  <calcPr calcId="181029"/>
  <pivotCaches>
    <pivotCache cacheId="0" r:id="rId7"/>
  </pivotCaches>
  <fileRecoveryPr autoRecover="0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3" name="Table3" connection="WorksheetConnection_Table3"/>
          <x15:modelTable id="Range 1" name="Range 1" connection="WorksheetConnection_Orders!$A$1:$U$372"/>
          <x15:modelTable id="Range" name="Range" connection="WorksheetConnection_Orders!$A$1:$AD$372"/>
        </x15:modelTables>
      </x15:dataModel>
    </ext>
  </extLst>
</workbook>
</file>

<file path=xl/calcChain.xml><?xml version="1.0" encoding="utf-8"?>
<calcChain xmlns="http://schemas.openxmlformats.org/spreadsheetml/2006/main">
  <c r="R15" i="11" l="1"/>
  <c r="J27" i="11"/>
  <c r="D27" i="11"/>
  <c r="W56" i="15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A791" i="2"/>
  <c r="A790" i="2"/>
  <c r="A1255" i="2"/>
  <c r="A1256" i="2"/>
  <c r="G1255" i="2"/>
  <c r="G1256" i="2"/>
  <c r="A1251" i="2"/>
  <c r="A1252" i="2"/>
  <c r="A1253" i="2"/>
  <c r="A1254" i="2"/>
  <c r="G1251" i="2"/>
  <c r="G1252" i="2"/>
  <c r="G1253" i="2"/>
  <c r="G1254" i="2"/>
  <c r="A1249" i="2"/>
  <c r="A1250" i="2"/>
  <c r="G1249" i="2"/>
  <c r="G1250" i="2"/>
  <c r="A1247" i="2"/>
  <c r="A1238" i="2"/>
  <c r="A1237" i="2"/>
  <c r="G1237" i="2"/>
  <c r="A1248" i="2"/>
  <c r="G1247" i="2"/>
  <c r="G1248" i="2"/>
  <c r="A1243" i="2"/>
  <c r="A1244" i="2"/>
  <c r="A1245" i="2"/>
  <c r="A1246" i="2"/>
  <c r="G1243" i="2"/>
  <c r="G1244" i="2"/>
  <c r="G1245" i="2"/>
  <c r="G1246" i="2"/>
  <c r="A1240" i="2"/>
  <c r="A1241" i="2"/>
  <c r="A1242" i="2"/>
  <c r="G1240" i="2"/>
  <c r="G1241" i="2"/>
  <c r="G1242" i="2"/>
  <c r="A1239" i="2"/>
  <c r="G1238" i="2"/>
  <c r="G1239" i="2"/>
  <c r="A1236" i="2"/>
  <c r="G1236" i="2"/>
  <c r="A1231" i="2"/>
  <c r="A1232" i="2"/>
  <c r="A1233" i="2"/>
  <c r="A1234" i="2"/>
  <c r="A1235" i="2"/>
  <c r="G1231" i="2"/>
  <c r="G1232" i="2"/>
  <c r="G1233" i="2"/>
  <c r="G1234" i="2"/>
  <c r="G1235" i="2"/>
  <c r="A1229" i="2"/>
  <c r="A1230" i="2"/>
  <c r="G1229" i="2"/>
  <c r="G1230" i="2"/>
  <c r="A1228" i="2" l="1"/>
  <c r="G1228" i="2"/>
  <c r="A1225" i="2"/>
  <c r="A1226" i="2"/>
  <c r="A1227" i="2"/>
  <c r="G1225" i="2"/>
  <c r="G1226" i="2"/>
  <c r="G1227" i="2"/>
  <c r="A1222" i="2"/>
  <c r="A1223" i="2"/>
  <c r="A1224" i="2"/>
  <c r="G1222" i="2"/>
  <c r="G1223" i="2"/>
  <c r="G1224" i="2"/>
  <c r="A1221" i="2"/>
  <c r="G1221" i="2"/>
  <c r="A1220" i="2"/>
  <c r="G1220" i="2"/>
  <c r="A1217" i="2"/>
  <c r="A1218" i="2"/>
  <c r="A1219" i="2"/>
  <c r="G1217" i="2"/>
  <c r="G1218" i="2"/>
  <c r="G1219" i="2"/>
  <c r="A1214" i="2"/>
  <c r="A1215" i="2"/>
  <c r="A1216" i="2"/>
  <c r="G1214" i="2"/>
  <c r="G1215" i="2"/>
  <c r="G1216" i="2"/>
  <c r="A1212" i="2"/>
  <c r="A1213" i="2"/>
  <c r="G1212" i="2"/>
  <c r="G1213" i="2"/>
  <c r="A1208" i="2"/>
  <c r="A1209" i="2"/>
  <c r="A1210" i="2"/>
  <c r="A1211" i="2"/>
  <c r="G1208" i="2"/>
  <c r="G1209" i="2"/>
  <c r="G1210" i="2"/>
  <c r="G1211" i="2"/>
  <c r="A1206" i="2"/>
  <c r="A1207" i="2"/>
  <c r="G1206" i="2"/>
  <c r="G1207" i="2"/>
  <c r="A1202" i="2"/>
  <c r="A1203" i="2"/>
  <c r="A1204" i="2"/>
  <c r="A1205" i="2"/>
  <c r="G1202" i="2"/>
  <c r="G1203" i="2"/>
  <c r="G1204" i="2"/>
  <c r="G1205" i="2"/>
  <c r="A1197" i="2"/>
  <c r="A1198" i="2"/>
  <c r="A1199" i="2"/>
  <c r="A1200" i="2"/>
  <c r="A1201" i="2"/>
  <c r="G1197" i="2"/>
  <c r="G1198" i="2"/>
  <c r="G1199" i="2"/>
  <c r="G1200" i="2"/>
  <c r="G1201" i="2"/>
  <c r="A1195" i="2"/>
  <c r="A1196" i="2"/>
  <c r="G1195" i="2"/>
  <c r="G1196" i="2"/>
  <c r="A1193" i="2"/>
  <c r="A1194" i="2"/>
  <c r="G1193" i="2"/>
  <c r="G1194" i="2"/>
  <c r="A1192" i="2"/>
  <c r="G1192" i="2"/>
  <c r="A1190" i="2"/>
  <c r="A1191" i="2"/>
  <c r="G1190" i="2"/>
  <c r="G1191" i="2"/>
  <c r="A1187" i="2"/>
  <c r="A1188" i="2"/>
  <c r="A1189" i="2"/>
  <c r="G1187" i="2"/>
  <c r="G1188" i="2"/>
  <c r="G1189" i="2"/>
  <c r="A1185" i="2"/>
  <c r="A1186" i="2"/>
  <c r="G1185" i="2"/>
  <c r="G1186" i="2"/>
  <c r="A1183" i="2"/>
  <c r="A1184" i="2"/>
  <c r="G1183" i="2"/>
  <c r="G1184" i="2"/>
  <c r="A1178" i="2"/>
  <c r="A1179" i="2"/>
  <c r="A1180" i="2"/>
  <c r="A1181" i="2"/>
  <c r="A1182" i="2"/>
  <c r="G1178" i="2"/>
  <c r="G1179" i="2"/>
  <c r="G1180" i="2"/>
  <c r="G1181" i="2"/>
  <c r="G1182" i="2"/>
  <c r="A1177" i="2"/>
  <c r="G1177" i="2"/>
  <c r="A1176" i="2"/>
  <c r="G1176" i="2"/>
  <c r="A1173" i="2"/>
  <c r="A1174" i="2"/>
  <c r="A1175" i="2"/>
  <c r="G1173" i="2"/>
  <c r="G1174" i="2"/>
  <c r="G1175" i="2"/>
  <c r="A1169" i="2"/>
  <c r="A1170" i="2"/>
  <c r="A1171" i="2"/>
  <c r="A1172" i="2"/>
  <c r="G1169" i="2"/>
  <c r="G1170" i="2"/>
  <c r="G1171" i="2"/>
  <c r="G1172" i="2"/>
  <c r="A1168" i="2"/>
  <c r="G1168" i="2"/>
  <c r="A1167" i="2"/>
  <c r="G1167" i="2"/>
  <c r="A1163" i="2"/>
  <c r="A1164" i="2"/>
  <c r="A1165" i="2"/>
  <c r="A1166" i="2"/>
  <c r="G1163" i="2"/>
  <c r="G1164" i="2"/>
  <c r="G1165" i="2"/>
  <c r="G1166" i="2"/>
  <c r="A1159" i="2"/>
  <c r="A1160" i="2"/>
  <c r="A1161" i="2"/>
  <c r="A1162" i="2"/>
  <c r="G1159" i="2"/>
  <c r="G1160" i="2"/>
  <c r="G1161" i="2"/>
  <c r="G1162" i="2"/>
  <c r="A1157" i="2"/>
  <c r="A1158" i="2"/>
  <c r="G1157" i="2"/>
  <c r="G1158" i="2"/>
  <c r="A1156" i="2"/>
  <c r="G1156" i="2"/>
  <c r="A1152" i="2"/>
  <c r="A1153" i="2"/>
  <c r="A1154" i="2"/>
  <c r="A1155" i="2"/>
  <c r="G1152" i="2"/>
  <c r="G1153" i="2"/>
  <c r="G1154" i="2"/>
  <c r="G1155" i="2"/>
  <c r="A1150" i="2"/>
  <c r="A1151" i="2"/>
  <c r="G1150" i="2"/>
  <c r="G1151" i="2"/>
  <c r="A1149" i="2"/>
  <c r="G1149" i="2"/>
  <c r="A1146" i="2"/>
  <c r="A1147" i="2"/>
  <c r="A1148" i="2"/>
  <c r="G1146" i="2"/>
  <c r="G1147" i="2"/>
  <c r="G1148" i="2"/>
  <c r="A1144" i="2"/>
  <c r="A1145" i="2"/>
  <c r="G1144" i="2"/>
  <c r="G1145" i="2"/>
  <c r="A1142" i="2"/>
  <c r="A1143" i="2"/>
  <c r="G1142" i="2"/>
  <c r="G1143" i="2"/>
  <c r="A1139" i="2"/>
  <c r="A1140" i="2"/>
  <c r="A1141" i="2"/>
  <c r="G1139" i="2"/>
  <c r="G1140" i="2"/>
  <c r="G1141" i="2"/>
  <c r="A1137" i="2"/>
  <c r="A1138" i="2"/>
  <c r="G1137" i="2"/>
  <c r="G1138" i="2"/>
  <c r="A1134" i="2"/>
  <c r="A1135" i="2"/>
  <c r="A1136" i="2"/>
  <c r="G1134" i="2"/>
  <c r="G1135" i="2"/>
  <c r="G1136" i="2"/>
  <c r="A1132" i="2"/>
  <c r="A1133" i="2"/>
  <c r="G1132" i="2"/>
  <c r="G1133" i="2"/>
  <c r="A1127" i="2"/>
  <c r="A1128" i="2"/>
  <c r="A1129" i="2"/>
  <c r="A1130" i="2"/>
  <c r="A1131" i="2"/>
  <c r="G1127" i="2"/>
  <c r="G1128" i="2"/>
  <c r="G1129" i="2"/>
  <c r="G1130" i="2"/>
  <c r="G1131" i="2"/>
  <c r="A1125" i="2"/>
  <c r="A1126" i="2"/>
  <c r="G1125" i="2"/>
  <c r="G1126" i="2"/>
  <c r="A1121" i="2"/>
  <c r="A1122" i="2"/>
  <c r="A1123" i="2"/>
  <c r="A1124" i="2"/>
  <c r="G1121" i="2"/>
  <c r="G1122" i="2"/>
  <c r="G1123" i="2"/>
  <c r="G1124" i="2"/>
  <c r="A1117" i="2"/>
  <c r="A1118" i="2"/>
  <c r="A1119" i="2"/>
  <c r="A1120" i="2"/>
  <c r="G1117" i="2"/>
  <c r="G1118" i="2"/>
  <c r="G1119" i="2"/>
  <c r="G1120" i="2"/>
  <c r="A1115" i="2"/>
  <c r="A1116" i="2"/>
  <c r="G1115" i="2"/>
  <c r="G1116" i="2"/>
  <c r="A1112" i="2"/>
  <c r="A1113" i="2"/>
  <c r="A1114" i="2"/>
  <c r="G1112" i="2"/>
  <c r="G1113" i="2"/>
  <c r="G1114" i="2"/>
  <c r="A1109" i="2"/>
  <c r="A1110" i="2"/>
  <c r="A1111" i="2"/>
  <c r="G1109" i="2"/>
  <c r="G1110" i="2"/>
  <c r="G1111" i="2"/>
  <c r="A1108" i="2"/>
  <c r="G1108" i="2"/>
  <c r="A1106" i="2"/>
  <c r="A1107" i="2"/>
  <c r="G1106" i="2"/>
  <c r="G1107" i="2"/>
  <c r="A1103" i="2"/>
  <c r="A1104" i="2"/>
  <c r="A1105" i="2"/>
  <c r="G1103" i="2"/>
  <c r="G1104" i="2"/>
  <c r="G1105" i="2"/>
  <c r="A1101" i="2"/>
  <c r="A1102" i="2"/>
  <c r="G1101" i="2"/>
  <c r="G1102" i="2"/>
  <c r="A1100" i="2"/>
  <c r="G1100" i="2"/>
  <c r="A1098" i="2"/>
  <c r="A1099" i="2"/>
  <c r="G1098" i="2"/>
  <c r="G1099" i="2"/>
  <c r="A1096" i="2"/>
  <c r="A1097" i="2"/>
  <c r="G1096" i="2"/>
  <c r="G1097" i="2"/>
  <c r="A1094" i="2"/>
  <c r="A1095" i="2"/>
  <c r="G1094" i="2"/>
  <c r="G1095" i="2"/>
  <c r="A1092" i="2"/>
  <c r="A1093" i="2"/>
  <c r="G1092" i="2"/>
  <c r="G1093" i="2"/>
  <c r="A1091" i="2"/>
  <c r="G1091" i="2"/>
  <c r="A1089" i="2"/>
  <c r="A1090" i="2"/>
  <c r="G1089" i="2"/>
  <c r="G1090" i="2"/>
  <c r="A1087" i="2"/>
  <c r="A1088" i="2"/>
  <c r="G1087" i="2"/>
  <c r="G1088" i="2"/>
  <c r="A1085" i="2"/>
  <c r="A1086" i="2"/>
  <c r="G1085" i="2"/>
  <c r="G1086" i="2"/>
  <c r="A1083" i="2"/>
  <c r="A1084" i="2"/>
  <c r="G1083" i="2"/>
  <c r="G1084" i="2"/>
  <c r="A1082" i="2"/>
  <c r="G1082" i="2"/>
  <c r="A1081" i="2"/>
  <c r="G1081" i="2"/>
  <c r="A1079" i="2"/>
  <c r="A1080" i="2"/>
  <c r="G1079" i="2"/>
  <c r="G1080" i="2"/>
  <c r="A1077" i="2"/>
  <c r="A1078" i="2"/>
  <c r="G1077" i="2"/>
  <c r="G1078" i="2"/>
  <c r="A1074" i="2"/>
  <c r="A1075" i="2"/>
  <c r="A1076" i="2"/>
  <c r="G1074" i="2"/>
  <c r="G1075" i="2"/>
  <c r="G1076" i="2"/>
  <c r="A1071" i="2"/>
  <c r="A1072" i="2"/>
  <c r="A1073" i="2"/>
  <c r="G1071" i="2"/>
  <c r="G1072" i="2"/>
  <c r="G1073" i="2"/>
  <c r="A1069" i="2"/>
  <c r="A1070" i="2"/>
  <c r="G1069" i="2"/>
  <c r="G1070" i="2"/>
  <c r="G1067" i="2"/>
  <c r="A1068" i="2"/>
  <c r="G1068" i="2"/>
  <c r="A1067" i="2"/>
  <c r="A1065" i="2"/>
  <c r="A1066" i="2"/>
  <c r="G1066" i="2"/>
  <c r="G1065" i="2"/>
  <c r="A1062" i="2"/>
  <c r="A1063" i="2"/>
  <c r="A1064" i="2"/>
  <c r="G1062" i="2"/>
  <c r="G1063" i="2"/>
  <c r="G1064" i="2"/>
  <c r="A1061" i="2"/>
  <c r="G1061" i="2"/>
  <c r="A1060" i="2"/>
  <c r="G1060" i="2"/>
  <c r="A1058" i="2"/>
  <c r="A1059" i="2"/>
  <c r="G1058" i="2"/>
  <c r="G1059" i="2"/>
  <c r="A1056" i="2"/>
  <c r="A1057" i="2"/>
  <c r="G1056" i="2"/>
  <c r="G1057" i="2"/>
  <c r="A1054" i="2"/>
  <c r="A1055" i="2"/>
  <c r="G1054" i="2"/>
  <c r="G1055" i="2"/>
  <c r="A1053" i="2"/>
  <c r="G1053" i="2"/>
  <c r="A1052" i="2"/>
  <c r="G1052" i="2"/>
  <c r="A1048" i="2"/>
  <c r="A1049" i="2"/>
  <c r="A1050" i="2"/>
  <c r="A1051" i="2"/>
  <c r="G1048" i="2"/>
  <c r="G1049" i="2"/>
  <c r="G1050" i="2"/>
  <c r="G1051" i="2"/>
  <c r="A1040" i="2"/>
  <c r="A1041" i="2"/>
  <c r="A1042" i="2"/>
  <c r="A1043" i="2"/>
  <c r="A1044" i="2"/>
  <c r="A1045" i="2"/>
  <c r="A1046" i="2"/>
  <c r="A1047" i="2"/>
  <c r="G1040" i="2"/>
  <c r="G1041" i="2"/>
  <c r="G1042" i="2"/>
  <c r="G1043" i="2"/>
  <c r="G1044" i="2"/>
  <c r="G1045" i="2"/>
  <c r="G1046" i="2"/>
  <c r="G1047" i="2"/>
  <c r="A1039" i="2"/>
  <c r="G1039" i="2"/>
  <c r="A1037" i="2"/>
  <c r="A1038" i="2"/>
  <c r="G1037" i="2"/>
  <c r="G1038" i="2"/>
  <c r="A1036" i="2"/>
  <c r="G1036" i="2"/>
  <c r="A1032" i="2"/>
  <c r="A1033" i="2"/>
  <c r="A1034" i="2"/>
  <c r="A1035" i="2"/>
  <c r="G1032" i="2"/>
  <c r="G1033" i="2"/>
  <c r="G1034" i="2"/>
  <c r="G1035" i="2"/>
  <c r="A1029" i="2"/>
  <c r="A1030" i="2"/>
  <c r="A1031" i="2"/>
  <c r="G1029" i="2"/>
  <c r="G1030" i="2"/>
  <c r="G1031" i="2"/>
  <c r="A1028" i="2"/>
  <c r="G1028" i="2"/>
  <c r="A1027" i="2"/>
  <c r="G1027" i="2"/>
  <c r="G1025" i="2"/>
  <c r="A1025" i="2"/>
  <c r="A1026" i="2"/>
  <c r="G1026" i="2"/>
  <c r="A1023" i="2"/>
  <c r="A1024" i="2"/>
  <c r="G1023" i="2"/>
  <c r="G1024" i="2"/>
  <c r="A1021" i="2"/>
  <c r="A1022" i="2"/>
  <c r="G1021" i="2"/>
  <c r="G1022" i="2"/>
  <c r="A1020" i="2"/>
  <c r="G1020" i="2"/>
  <c r="A1016" i="2"/>
  <c r="A1017" i="2"/>
  <c r="A1018" i="2"/>
  <c r="A1019" i="2"/>
  <c r="G1016" i="2"/>
  <c r="G1017" i="2"/>
  <c r="G1018" i="2"/>
  <c r="G1019" i="2"/>
  <c r="A1015" i="2"/>
  <c r="G1015" i="2"/>
  <c r="A1014" i="2"/>
  <c r="G1014" i="2"/>
  <c r="A998" i="2"/>
  <c r="A996" i="2"/>
  <c r="A997" i="2"/>
  <c r="A995" i="2"/>
  <c r="G995" i="2"/>
  <c r="G996" i="2"/>
  <c r="G997" i="2"/>
  <c r="A1011" i="2"/>
  <c r="A1012" i="2"/>
  <c r="A1013" i="2"/>
  <c r="G1011" i="2"/>
  <c r="G1012" i="2"/>
  <c r="G1013" i="2"/>
  <c r="A1010" i="2"/>
  <c r="G1010" i="2"/>
  <c r="A1008" i="2"/>
  <c r="A1009" i="2"/>
  <c r="G1008" i="2"/>
  <c r="G1009" i="2"/>
  <c r="A1004" i="2"/>
  <c r="A1005" i="2"/>
  <c r="A1006" i="2"/>
  <c r="A1007" i="2"/>
  <c r="G1004" i="2"/>
  <c r="G1005" i="2"/>
  <c r="G1006" i="2"/>
  <c r="G1007" i="2"/>
  <c r="A1000" i="2"/>
  <c r="A1001" i="2"/>
  <c r="A1002" i="2"/>
  <c r="A1003" i="2"/>
  <c r="G1000" i="2"/>
  <c r="G1001" i="2"/>
  <c r="G1002" i="2"/>
  <c r="G1003" i="2"/>
  <c r="A999" i="2"/>
  <c r="G998" i="2"/>
  <c r="G999" i="2"/>
  <c r="A991" i="2"/>
  <c r="A992" i="2"/>
  <c r="A993" i="2"/>
  <c r="A994" i="2"/>
  <c r="G991" i="2"/>
  <c r="G992" i="2"/>
  <c r="G993" i="2"/>
  <c r="G994" i="2"/>
  <c r="A989" i="2"/>
  <c r="A990" i="2"/>
  <c r="G989" i="2"/>
  <c r="G990" i="2"/>
  <c r="A987" i="2"/>
  <c r="A988" i="2"/>
  <c r="G987" i="2"/>
  <c r="G988" i="2"/>
  <c r="A985" i="2"/>
  <c r="A986" i="2"/>
  <c r="G985" i="2"/>
  <c r="G986" i="2"/>
  <c r="A982" i="2"/>
  <c r="A983" i="2"/>
  <c r="A984" i="2"/>
  <c r="G982" i="2"/>
  <c r="G983" i="2"/>
  <c r="G984" i="2"/>
  <c r="A978" i="2"/>
  <c r="A979" i="2"/>
  <c r="A980" i="2"/>
  <c r="A981" i="2"/>
  <c r="G978" i="2"/>
  <c r="G979" i="2"/>
  <c r="G980" i="2"/>
  <c r="G981" i="2"/>
  <c r="A976" i="2"/>
  <c r="A977" i="2"/>
  <c r="G976" i="2"/>
  <c r="G977" i="2"/>
  <c r="A975" i="2"/>
  <c r="G975" i="2"/>
  <c r="A973" i="2"/>
  <c r="A974" i="2"/>
  <c r="G973" i="2"/>
  <c r="G974" i="2"/>
  <c r="A971" i="2"/>
  <c r="A972" i="2"/>
  <c r="G971" i="2"/>
  <c r="G972" i="2"/>
  <c r="A969" i="2"/>
  <c r="A970" i="2"/>
  <c r="G969" i="2"/>
  <c r="G970" i="2"/>
  <c r="A966" i="2"/>
  <c r="A967" i="2"/>
  <c r="A968" i="2"/>
  <c r="G966" i="2"/>
  <c r="G967" i="2"/>
  <c r="G968" i="2"/>
  <c r="A964" i="2"/>
  <c r="A965" i="2"/>
  <c r="G964" i="2"/>
  <c r="G965" i="2"/>
  <c r="A962" i="2"/>
  <c r="A963" i="2"/>
  <c r="G962" i="2"/>
  <c r="G963" i="2"/>
  <c r="A961" i="2"/>
  <c r="G961" i="2"/>
  <c r="A960" i="2"/>
  <c r="G960" i="2"/>
  <c r="A959" i="2"/>
  <c r="G959" i="2"/>
  <c r="A958" i="2"/>
  <c r="G958" i="2"/>
  <c r="A957" i="2"/>
  <c r="G957" i="2"/>
  <c r="A954" i="2"/>
  <c r="A955" i="2"/>
  <c r="A956" i="2"/>
  <c r="G954" i="2"/>
  <c r="G955" i="2"/>
  <c r="G956" i="2"/>
  <c r="A953" i="2"/>
  <c r="G953" i="2"/>
  <c r="A952" i="2"/>
  <c r="G952" i="2"/>
  <c r="A951" i="2"/>
  <c r="G951" i="2"/>
  <c r="A950" i="2"/>
  <c r="G950" i="2"/>
  <c r="A949" i="2"/>
  <c r="G949" i="2"/>
  <c r="A946" i="2"/>
  <c r="A947" i="2"/>
  <c r="A948" i="2"/>
  <c r="G946" i="2"/>
  <c r="G947" i="2"/>
  <c r="G948" i="2"/>
  <c r="A945" i="2"/>
  <c r="G945" i="2"/>
  <c r="A943" i="2"/>
  <c r="A944" i="2"/>
  <c r="G943" i="2"/>
  <c r="G944" i="2"/>
  <c r="A942" i="2"/>
  <c r="G942" i="2"/>
  <c r="A941" i="2"/>
  <c r="G941" i="2"/>
  <c r="A940" i="2"/>
  <c r="G940" i="2"/>
  <c r="A939" i="2"/>
  <c r="G939" i="2"/>
  <c r="A937" i="2"/>
  <c r="A938" i="2"/>
  <c r="G937" i="2"/>
  <c r="G938" i="2"/>
  <c r="A936" i="2"/>
  <c r="G936" i="2"/>
  <c r="A935" i="2"/>
  <c r="G935" i="2"/>
  <c r="A933" i="2"/>
  <c r="A934" i="2"/>
  <c r="G933" i="2"/>
  <c r="G934" i="2"/>
  <c r="A932" i="2"/>
  <c r="G932" i="2"/>
  <c r="A930" i="2"/>
  <c r="A931" i="2"/>
  <c r="G930" i="2"/>
  <c r="G931" i="2"/>
  <c r="A929" i="2"/>
  <c r="G929" i="2"/>
  <c r="A926" i="2"/>
  <c r="A927" i="2"/>
  <c r="A928" i="2"/>
  <c r="G926" i="2"/>
  <c r="G927" i="2"/>
  <c r="G928" i="2"/>
  <c r="A925" i="2"/>
  <c r="G925" i="2"/>
  <c r="A924" i="2"/>
  <c r="G924" i="2"/>
  <c r="A922" i="2"/>
  <c r="A923" i="2"/>
  <c r="G922" i="2"/>
  <c r="G923" i="2"/>
  <c r="A919" i="2"/>
  <c r="A920" i="2"/>
  <c r="A921" i="2"/>
  <c r="G919" i="2"/>
  <c r="G920" i="2"/>
  <c r="G921" i="2"/>
  <c r="A913" i="2"/>
  <c r="A914" i="2"/>
  <c r="A915" i="2"/>
  <c r="A916" i="2"/>
  <c r="A917" i="2"/>
  <c r="A918" i="2"/>
  <c r="G913" i="2"/>
  <c r="G914" i="2"/>
  <c r="G915" i="2"/>
  <c r="G916" i="2"/>
  <c r="G917" i="2"/>
  <c r="G918" i="2"/>
  <c r="A911" i="2"/>
  <c r="A912" i="2"/>
  <c r="G911" i="2"/>
  <c r="G912" i="2"/>
  <c r="A906" i="2"/>
  <c r="A907" i="2"/>
  <c r="A908" i="2"/>
  <c r="A909" i="2"/>
  <c r="A910" i="2"/>
  <c r="G906" i="2"/>
  <c r="G907" i="2"/>
  <c r="G908" i="2"/>
  <c r="G909" i="2"/>
  <c r="G910" i="2"/>
  <c r="A905" i="2"/>
  <c r="G905" i="2"/>
  <c r="A904" i="2"/>
  <c r="G904" i="2"/>
  <c r="A903" i="2"/>
  <c r="G903" i="2"/>
  <c r="A894" i="2"/>
  <c r="A895" i="2"/>
  <c r="A896" i="2"/>
  <c r="A897" i="2"/>
  <c r="A898" i="2"/>
  <c r="A899" i="2"/>
  <c r="A900" i="2"/>
  <c r="A901" i="2"/>
  <c r="A902" i="2"/>
  <c r="G894" i="2"/>
  <c r="G895" i="2"/>
  <c r="G896" i="2"/>
  <c r="G897" i="2"/>
  <c r="G898" i="2"/>
  <c r="G899" i="2"/>
  <c r="G900" i="2"/>
  <c r="G901" i="2"/>
  <c r="G902" i="2"/>
  <c r="A893" i="2"/>
  <c r="G893" i="2"/>
  <c r="A892" i="2"/>
  <c r="G892" i="2"/>
  <c r="A890" i="2"/>
  <c r="A891" i="2"/>
  <c r="G890" i="2"/>
  <c r="G891" i="2"/>
  <c r="A888" i="2"/>
  <c r="A889" i="2"/>
  <c r="G888" i="2"/>
  <c r="G889" i="2"/>
  <c r="A887" i="2"/>
  <c r="G887" i="2"/>
  <c r="A886" i="2"/>
  <c r="G886" i="2"/>
  <c r="G885" i="2"/>
  <c r="G884" i="2"/>
  <c r="A883" i="2"/>
  <c r="G882" i="2"/>
  <c r="A882" i="2"/>
  <c r="A885" i="2"/>
  <c r="A884" i="2"/>
  <c r="G883" i="2"/>
  <c r="A880" i="2"/>
  <c r="A881" i="2"/>
  <c r="G880" i="2"/>
  <c r="G881" i="2"/>
  <c r="A877" i="2"/>
  <c r="A878" i="2"/>
  <c r="A879" i="2"/>
  <c r="G877" i="2"/>
  <c r="G878" i="2"/>
  <c r="G879" i="2"/>
  <c r="A876" i="2"/>
  <c r="G876" i="2"/>
  <c r="G874" i="2"/>
  <c r="G873" i="2"/>
  <c r="A875" i="2"/>
  <c r="G875" i="2"/>
  <c r="A874" i="2"/>
  <c r="A873" i="2"/>
  <c r="A872" i="2"/>
  <c r="G872" i="2"/>
  <c r="A871" i="2"/>
  <c r="G871" i="2"/>
  <c r="A870" i="2"/>
  <c r="G870" i="2"/>
  <c r="A869" i="2"/>
  <c r="G869" i="2"/>
  <c r="A868" i="2"/>
  <c r="G868" i="2"/>
  <c r="A867" i="2"/>
  <c r="G867" i="2"/>
  <c r="A866" i="2"/>
  <c r="G866" i="2"/>
  <c r="A865" i="2"/>
  <c r="G865" i="2"/>
  <c r="A864" i="2"/>
  <c r="G864" i="2"/>
  <c r="A863" i="2"/>
  <c r="G863" i="2"/>
  <c r="G861" i="2"/>
  <c r="G862" i="2"/>
  <c r="A861" i="2"/>
  <c r="A862" i="2"/>
  <c r="A860" i="2"/>
  <c r="G860" i="2"/>
  <c r="A859" i="2"/>
  <c r="G859" i="2"/>
  <c r="G858" i="2"/>
  <c r="A858" i="2"/>
  <c r="C6" i="2"/>
  <c r="C7" i="2"/>
  <c r="C8" i="2"/>
  <c r="A857" i="2"/>
  <c r="G857" i="2"/>
  <c r="A856" i="2"/>
  <c r="G856" i="2"/>
  <c r="A855" i="2"/>
  <c r="G855" i="2"/>
  <c r="A854" i="2"/>
  <c r="G854" i="2"/>
  <c r="A853" i="2"/>
  <c r="G853" i="2"/>
  <c r="A852" i="2"/>
  <c r="G852" i="2"/>
  <c r="A851" i="2"/>
  <c r="G851" i="2"/>
  <c r="A850" i="2"/>
  <c r="G850" i="2"/>
  <c r="A849" i="2"/>
  <c r="G849" i="2"/>
  <c r="A848" i="2"/>
  <c r="G848" i="2"/>
  <c r="A847" i="2"/>
  <c r="G847" i="2"/>
  <c r="A846" i="2"/>
  <c r="G846" i="2"/>
  <c r="A845" i="2"/>
  <c r="G845" i="2"/>
  <c r="A844" i="2"/>
  <c r="G844" i="2"/>
  <c r="A843" i="2"/>
  <c r="G843" i="2"/>
  <c r="A842" i="2"/>
  <c r="G842" i="2"/>
  <c r="A841" i="2"/>
  <c r="G841" i="2"/>
  <c r="A840" i="2"/>
  <c r="G840" i="2"/>
  <c r="A839" i="2"/>
  <c r="G839" i="2"/>
  <c r="A838" i="2"/>
  <c r="G838" i="2"/>
  <c r="A837" i="2"/>
  <c r="G837" i="2"/>
  <c r="A836" i="2"/>
  <c r="G836" i="2"/>
  <c r="A835" i="2"/>
  <c r="G835" i="2"/>
  <c r="A834" i="2"/>
  <c r="G834" i="2"/>
  <c r="A833" i="2"/>
  <c r="G833" i="2"/>
  <c r="A832" i="2"/>
  <c r="G832" i="2"/>
  <c r="A831" i="2"/>
  <c r="G831" i="2"/>
  <c r="A830" i="2"/>
  <c r="G830" i="2"/>
  <c r="A829" i="2"/>
  <c r="G829" i="2"/>
  <c r="A828" i="2"/>
  <c r="G828" i="2"/>
  <c r="A827" i="2"/>
  <c r="G827" i="2"/>
  <c r="A826" i="2"/>
  <c r="G826" i="2"/>
  <c r="A825" i="2"/>
  <c r="G825" i="2"/>
  <c r="A824" i="2"/>
  <c r="G824" i="2"/>
  <c r="A823" i="2"/>
  <c r="G823" i="2"/>
  <c r="A822" i="2"/>
  <c r="G822" i="2"/>
  <c r="A821" i="2"/>
  <c r="G821" i="2"/>
  <c r="A820" i="2"/>
  <c r="G820" i="2"/>
  <c r="A819" i="2"/>
  <c r="G819" i="2"/>
  <c r="A818" i="2"/>
  <c r="G818" i="2"/>
  <c r="A817" i="2"/>
  <c r="G817" i="2"/>
  <c r="A816" i="2"/>
  <c r="G816" i="2"/>
  <c r="A815" i="2"/>
  <c r="G815" i="2"/>
  <c r="A814" i="2"/>
  <c r="G814" i="2"/>
  <c r="A813" i="2"/>
  <c r="G813" i="2"/>
  <c r="A812" i="2"/>
  <c r="G812" i="2"/>
  <c r="A811" i="2"/>
  <c r="G811" i="2"/>
  <c r="A810" i="2"/>
  <c r="G810" i="2"/>
  <c r="A809" i="2"/>
  <c r="G809" i="2"/>
  <c r="A808" i="2"/>
  <c r="G808" i="2"/>
  <c r="A807" i="2"/>
  <c r="G807" i="2"/>
  <c r="A806" i="2"/>
  <c r="G806" i="2"/>
  <c r="A805" i="2"/>
  <c r="G805" i="2"/>
  <c r="A804" i="2"/>
  <c r="G804" i="2"/>
  <c r="A803" i="2"/>
  <c r="G803" i="2"/>
  <c r="A802" i="2"/>
  <c r="G802" i="2"/>
  <c r="A801" i="2"/>
  <c r="G801" i="2"/>
  <c r="A800" i="2"/>
  <c r="G800" i="2"/>
  <c r="A799" i="2"/>
  <c r="G799" i="2"/>
  <c r="A798" i="2"/>
  <c r="G798" i="2"/>
  <c r="A797" i="2"/>
  <c r="G797" i="2"/>
  <c r="A796" i="2"/>
  <c r="G796" i="2"/>
  <c r="A795" i="2"/>
  <c r="G795" i="2"/>
  <c r="A794" i="2"/>
  <c r="G794" i="2"/>
  <c r="A793" i="2"/>
  <c r="G793" i="2"/>
  <c r="A792" i="2"/>
  <c r="G792" i="2"/>
  <c r="G790" i="2"/>
  <c r="G791" i="2"/>
  <c r="A789" i="2"/>
  <c r="G789" i="2"/>
  <c r="A788" i="2"/>
  <c r="G788" i="2"/>
  <c r="A787" i="2"/>
  <c r="G787" i="2"/>
  <c r="A786" i="2"/>
  <c r="G786" i="2"/>
  <c r="A785" i="2"/>
  <c r="G785" i="2"/>
  <c r="A784" i="2"/>
  <c r="G784" i="2"/>
  <c r="A783" i="2"/>
  <c r="G783" i="2"/>
  <c r="A782" i="2"/>
  <c r="G782" i="2"/>
  <c r="A781" i="2"/>
  <c r="G781" i="2"/>
  <c r="A780" i="2"/>
  <c r="G780" i="2"/>
  <c r="A779" i="2"/>
  <c r="G779" i="2"/>
  <c r="A778" i="2"/>
  <c r="G778" i="2"/>
  <c r="A777" i="2"/>
  <c r="G777" i="2"/>
  <c r="A776" i="2"/>
  <c r="G776" i="2"/>
  <c r="A775" i="2"/>
  <c r="G775" i="2"/>
  <c r="A774" i="2"/>
  <c r="G774" i="2"/>
  <c r="A773" i="2"/>
  <c r="G773" i="2"/>
  <c r="A772" i="2"/>
  <c r="G772" i="2"/>
  <c r="A771" i="2"/>
  <c r="G771" i="2"/>
  <c r="A770" i="2"/>
  <c r="G770" i="2"/>
  <c r="A769" i="2"/>
  <c r="G769" i="2"/>
  <c r="A768" i="2"/>
  <c r="G768" i="2"/>
  <c r="A751" i="2"/>
  <c r="A752" i="2"/>
  <c r="A753" i="2"/>
  <c r="A754" i="2"/>
  <c r="A755" i="2"/>
  <c r="A756" i="2"/>
  <c r="A767" i="2"/>
  <c r="G767" i="2"/>
  <c r="A766" i="2"/>
  <c r="G766" i="2"/>
  <c r="A765" i="2"/>
  <c r="G765" i="2"/>
  <c r="A764" i="2"/>
  <c r="G764" i="2"/>
  <c r="A763" i="2"/>
  <c r="G763" i="2"/>
  <c r="A762" i="2"/>
  <c r="G762" i="2"/>
  <c r="A761" i="2"/>
  <c r="G761" i="2"/>
  <c r="A760" i="2"/>
  <c r="G760" i="2"/>
  <c r="A759" i="2"/>
  <c r="G759" i="2"/>
  <c r="A758" i="2"/>
  <c r="G758" i="2"/>
  <c r="A757" i="2"/>
  <c r="G757" i="2"/>
  <c r="G751" i="2"/>
  <c r="G756" i="2"/>
  <c r="G755" i="2"/>
  <c r="G754" i="2"/>
  <c r="G753" i="2"/>
  <c r="G752" i="2"/>
  <c r="A750" i="2"/>
  <c r="G750" i="2"/>
  <c r="A749" i="2"/>
  <c r="G749" i="2"/>
  <c r="A748" i="2"/>
  <c r="G748" i="2"/>
  <c r="A747" i="2"/>
  <c r="G747" i="2"/>
  <c r="A746" i="2"/>
  <c r="G746" i="2"/>
  <c r="A745" i="2"/>
  <c r="G745" i="2"/>
  <c r="A744" i="2"/>
  <c r="G744" i="2"/>
  <c r="A743" i="2"/>
  <c r="G743" i="2"/>
  <c r="A742" i="2"/>
  <c r="G742" i="2"/>
  <c r="A741" i="2"/>
  <c r="G741" i="2"/>
  <c r="A740" i="2"/>
  <c r="G740" i="2"/>
  <c r="A739" i="2"/>
  <c r="G739" i="2"/>
  <c r="A738" i="2"/>
  <c r="G738" i="2"/>
  <c r="A737" i="2"/>
  <c r="G737" i="2"/>
  <c r="A736" i="2"/>
  <c r="G736" i="2"/>
  <c r="A735" i="2"/>
  <c r="G735" i="2"/>
  <c r="A734" i="2"/>
  <c r="G734" i="2"/>
  <c r="A733" i="2"/>
  <c r="G733" i="2"/>
  <c r="A732" i="2"/>
  <c r="G732" i="2"/>
  <c r="A731" i="2"/>
  <c r="G731" i="2"/>
  <c r="A730" i="2"/>
  <c r="G730" i="2"/>
  <c r="G729" i="2"/>
  <c r="A729" i="2"/>
  <c r="A728" i="2"/>
  <c r="G728" i="2"/>
  <c r="A727" i="2"/>
  <c r="G727" i="2"/>
  <c r="A726" i="2"/>
  <c r="G726" i="2"/>
  <c r="A725" i="2"/>
  <c r="G725" i="2"/>
  <c r="A724" i="2"/>
  <c r="G724" i="2"/>
  <c r="A723" i="2"/>
  <c r="G723" i="2"/>
  <c r="A722" i="2"/>
  <c r="G722" i="2"/>
  <c r="A721" i="2"/>
  <c r="G721" i="2"/>
  <c r="A720" i="2"/>
  <c r="G720" i="2"/>
  <c r="A719" i="2"/>
  <c r="G719" i="2"/>
  <c r="A718" i="2"/>
  <c r="G718" i="2"/>
  <c r="A717" i="2"/>
  <c r="G717" i="2"/>
  <c r="A716" i="2"/>
  <c r="G716" i="2"/>
  <c r="A715" i="2"/>
  <c r="G715" i="2"/>
  <c r="A714" i="2"/>
  <c r="G714" i="2"/>
  <c r="A713" i="2"/>
  <c r="G713" i="2"/>
  <c r="A712" i="2"/>
  <c r="G712" i="2"/>
  <c r="A711" i="2"/>
  <c r="G711" i="2"/>
  <c r="A710" i="2"/>
  <c r="G710" i="2"/>
  <c r="A709" i="2"/>
  <c r="G709" i="2"/>
  <c r="A708" i="2"/>
  <c r="G708" i="2"/>
  <c r="A707" i="2"/>
  <c r="G707" i="2"/>
  <c r="A706" i="2"/>
  <c r="G706" i="2"/>
  <c r="A705" i="2"/>
  <c r="G705" i="2"/>
  <c r="A704" i="2"/>
  <c r="G704" i="2"/>
  <c r="A703" i="2"/>
  <c r="G703" i="2"/>
  <c r="A702" i="2"/>
  <c r="G702" i="2"/>
  <c r="A701" i="2"/>
  <c r="G701" i="2"/>
  <c r="A700" i="2"/>
  <c r="G700" i="2"/>
  <c r="A699" i="2"/>
  <c r="G699" i="2"/>
  <c r="A698" i="2"/>
  <c r="G698" i="2"/>
  <c r="A697" i="2"/>
  <c r="G697" i="2"/>
  <c r="A696" i="2"/>
  <c r="G696" i="2"/>
  <c r="A695" i="2"/>
  <c r="G695" i="2"/>
  <c r="A694" i="2"/>
  <c r="G694" i="2"/>
  <c r="A693" i="2"/>
  <c r="G693" i="2"/>
  <c r="A692" i="2"/>
  <c r="G692" i="2"/>
  <c r="A691" i="2"/>
  <c r="G691" i="2"/>
  <c r="A690" i="2"/>
  <c r="G690" i="2"/>
  <c r="A689" i="2"/>
  <c r="G689" i="2"/>
  <c r="A688" i="2"/>
  <c r="G688" i="2"/>
  <c r="A687" i="2"/>
  <c r="G687" i="2"/>
  <c r="A686" i="2"/>
  <c r="G686" i="2"/>
  <c r="A685" i="2"/>
  <c r="G685" i="2"/>
  <c r="A684" i="2"/>
  <c r="G684" i="2"/>
  <c r="A683" i="2"/>
  <c r="G683" i="2"/>
  <c r="A682" i="2"/>
  <c r="G682" i="2"/>
  <c r="A681" i="2"/>
  <c r="G681" i="2"/>
  <c r="A680" i="2"/>
  <c r="G680" i="2"/>
  <c r="A679" i="2"/>
  <c r="G679" i="2"/>
  <c r="A678" i="2"/>
  <c r="G678" i="2"/>
  <c r="A677" i="2"/>
  <c r="G677" i="2"/>
  <c r="A676" i="2"/>
  <c r="G676" i="2"/>
  <c r="A675" i="2"/>
  <c r="G675" i="2"/>
  <c r="A674" i="2"/>
  <c r="G674" i="2"/>
  <c r="A673" i="2"/>
  <c r="G673" i="2"/>
  <c r="A672" i="2"/>
  <c r="G672" i="2"/>
  <c r="A671" i="2"/>
  <c r="G671" i="2"/>
  <c r="A670" i="2"/>
  <c r="G670" i="2"/>
  <c r="A669" i="2"/>
  <c r="G669" i="2"/>
  <c r="A668" i="2"/>
  <c r="G668" i="2"/>
  <c r="A667" i="2"/>
  <c r="G667" i="2"/>
  <c r="A666" i="2"/>
  <c r="G666" i="2"/>
  <c r="A665" i="2"/>
  <c r="G665" i="2"/>
  <c r="A664" i="2"/>
  <c r="G664" i="2"/>
  <c r="A663" i="2"/>
  <c r="G663" i="2"/>
  <c r="A662" i="2"/>
  <c r="G662" i="2"/>
  <c r="A661" i="2"/>
  <c r="G661" i="2"/>
  <c r="A660" i="2"/>
  <c r="G660" i="2"/>
  <c r="A659" i="2"/>
  <c r="G659" i="2"/>
  <c r="A658" i="2"/>
  <c r="G658" i="2"/>
  <c r="A657" i="2"/>
  <c r="G657" i="2"/>
  <c r="A656" i="2"/>
  <c r="G656" i="2"/>
  <c r="A655" i="2"/>
  <c r="G655" i="2"/>
  <c r="A654" i="2"/>
  <c r="G654" i="2"/>
  <c r="A653" i="2"/>
  <c r="G653" i="2"/>
  <c r="A652" i="2"/>
  <c r="G652" i="2"/>
  <c r="A651" i="2"/>
  <c r="G651" i="2"/>
  <c r="A650" i="2"/>
  <c r="G650" i="2"/>
  <c r="A649" i="2"/>
  <c r="G649" i="2"/>
  <c r="A648" i="2"/>
  <c r="G648" i="2"/>
  <c r="A647" i="2"/>
  <c r="G647" i="2"/>
  <c r="A646" i="2"/>
  <c r="G646" i="2"/>
  <c r="A645" i="2"/>
  <c r="G645" i="2"/>
  <c r="A644" i="2"/>
  <c r="G644" i="2"/>
  <c r="A643" i="2"/>
  <c r="G643" i="2"/>
  <c r="A642" i="2"/>
  <c r="G642" i="2"/>
  <c r="A641" i="2"/>
  <c r="G641" i="2"/>
  <c r="A640" i="2"/>
  <c r="G640" i="2"/>
  <c r="A639" i="2"/>
  <c r="G639" i="2"/>
  <c r="A638" i="2"/>
  <c r="G638" i="2"/>
  <c r="A637" i="2"/>
  <c r="G637" i="2"/>
  <c r="A636" i="2"/>
  <c r="G636" i="2"/>
  <c r="A635" i="2"/>
  <c r="G635" i="2"/>
  <c r="A634" i="2"/>
  <c r="G634" i="2"/>
  <c r="A633" i="2"/>
  <c r="G633" i="2"/>
  <c r="A632" i="2"/>
  <c r="G632" i="2"/>
  <c r="A631" i="2"/>
  <c r="G631" i="2"/>
  <c r="A630" i="2"/>
  <c r="G630" i="2"/>
  <c r="A629" i="2"/>
  <c r="G629" i="2"/>
  <c r="A628" i="2"/>
  <c r="G628" i="2"/>
  <c r="A627" i="2"/>
  <c r="G627" i="2"/>
  <c r="A626" i="2"/>
  <c r="G626" i="2"/>
  <c r="A625" i="2"/>
  <c r="G625" i="2"/>
  <c r="A624" i="2"/>
  <c r="G624" i="2"/>
  <c r="A623" i="2"/>
  <c r="G623" i="2"/>
  <c r="A622" i="2"/>
  <c r="G622" i="2"/>
  <c r="A621" i="2"/>
  <c r="G621" i="2"/>
  <c r="A620" i="2"/>
  <c r="G620" i="2"/>
  <c r="A619" i="2"/>
  <c r="G619" i="2"/>
  <c r="A618" i="2"/>
  <c r="G618" i="2"/>
  <c r="A617" i="2"/>
  <c r="G617" i="2"/>
  <c r="A616" i="2"/>
  <c r="G616" i="2"/>
  <c r="A615" i="2"/>
  <c r="G615" i="2"/>
  <c r="A614" i="2"/>
  <c r="G614" i="2"/>
  <c r="A613" i="2"/>
  <c r="G613" i="2"/>
  <c r="A612" i="2"/>
  <c r="G612" i="2"/>
  <c r="A611" i="2"/>
  <c r="G611" i="2"/>
  <c r="A610" i="2"/>
  <c r="G610" i="2"/>
  <c r="A609" i="2"/>
  <c r="G609" i="2"/>
  <c r="A608" i="2"/>
  <c r="G608" i="2"/>
  <c r="A607" i="2"/>
  <c r="G607" i="2"/>
  <c r="A606" i="2"/>
  <c r="G606" i="2"/>
  <c r="A605" i="2"/>
  <c r="G605" i="2"/>
  <c r="A604" i="2"/>
  <c r="G604" i="2"/>
  <c r="A603" i="2"/>
  <c r="G603" i="2"/>
  <c r="A602" i="2"/>
  <c r="G602" i="2"/>
  <c r="A601" i="2"/>
  <c r="G601" i="2"/>
  <c r="A600" i="2"/>
  <c r="G600" i="2"/>
  <c r="A599" i="2"/>
  <c r="G599" i="2"/>
  <c r="A598" i="2"/>
  <c r="G598" i="2"/>
  <c r="A597" i="2"/>
  <c r="G597" i="2"/>
  <c r="A596" i="2"/>
  <c r="G596" i="2"/>
  <c r="A595" i="2"/>
  <c r="G595" i="2"/>
  <c r="A594" i="2"/>
  <c r="G594" i="2"/>
  <c r="A593" i="2"/>
  <c r="G593" i="2"/>
  <c r="A592" i="2"/>
  <c r="G592" i="2"/>
  <c r="A591" i="2"/>
  <c r="G591" i="2"/>
  <c r="A590" i="2"/>
  <c r="G590" i="2"/>
  <c r="A589" i="2"/>
  <c r="G589" i="2"/>
  <c r="A588" i="2"/>
  <c r="G588" i="2"/>
  <c r="G587" i="2"/>
  <c r="A587" i="2"/>
  <c r="A586" i="2"/>
  <c r="G586" i="2"/>
  <c r="A585" i="2"/>
  <c r="G585" i="2"/>
  <c r="A584" i="2"/>
  <c r="G584" i="2"/>
  <c r="A583" i="2"/>
  <c r="G583" i="2"/>
  <c r="A582" i="2"/>
  <c r="G582" i="2"/>
  <c r="A581" i="2"/>
  <c r="G581" i="2"/>
  <c r="A580" i="2"/>
  <c r="G580" i="2"/>
  <c r="A579" i="2"/>
  <c r="G579" i="2"/>
  <c r="G577" i="2"/>
  <c r="A578" i="2"/>
  <c r="G578" i="2"/>
  <c r="A577" i="2"/>
  <c r="A576" i="2"/>
  <c r="G576" i="2"/>
  <c r="A575" i="2"/>
  <c r="G575" i="2"/>
  <c r="A574" i="2"/>
  <c r="G574" i="2"/>
  <c r="A573" i="2"/>
  <c r="G573" i="2"/>
  <c r="A572" i="2"/>
  <c r="G572" i="2"/>
  <c r="A571" i="2"/>
  <c r="G571" i="2"/>
  <c r="A570" i="2"/>
  <c r="G570" i="2"/>
  <c r="A569" i="2"/>
  <c r="G569" i="2"/>
  <c r="A568" i="2"/>
  <c r="G568" i="2"/>
  <c r="A567" i="2"/>
  <c r="G567" i="2"/>
  <c r="A566" i="2"/>
  <c r="G566" i="2"/>
  <c r="A565" i="2"/>
  <c r="G565" i="2"/>
  <c r="A564" i="2"/>
  <c r="G564" i="2"/>
  <c r="A563" i="2"/>
  <c r="G563" i="2"/>
  <c r="A562" i="2"/>
  <c r="G562" i="2"/>
  <c r="A561" i="2"/>
  <c r="G561" i="2"/>
  <c r="A560" i="2"/>
  <c r="G560" i="2"/>
  <c r="A559" i="2"/>
  <c r="G559" i="2"/>
  <c r="A558" i="2"/>
  <c r="G558" i="2"/>
  <c r="A557" i="2"/>
  <c r="G557" i="2"/>
  <c r="A556" i="2"/>
  <c r="G556" i="2"/>
  <c r="A555" i="2"/>
  <c r="G555" i="2"/>
  <c r="A554" i="2"/>
  <c r="G554" i="2"/>
  <c r="A553" i="2"/>
  <c r="G553" i="2"/>
  <c r="A552" i="2"/>
  <c r="G552" i="2"/>
  <c r="A551" i="2"/>
  <c r="G551" i="2"/>
  <c r="A550" i="2"/>
  <c r="G550" i="2"/>
  <c r="A549" i="2"/>
  <c r="G549" i="2"/>
  <c r="A548" i="2"/>
  <c r="G548" i="2"/>
  <c r="A547" i="2"/>
  <c r="G547" i="2"/>
  <c r="A546" i="2"/>
  <c r="G546" i="2"/>
  <c r="A545" i="2"/>
  <c r="G545" i="2"/>
  <c r="A544" i="2"/>
  <c r="G544" i="2"/>
  <c r="A543" i="2"/>
  <c r="G543" i="2"/>
  <c r="A542" i="2"/>
  <c r="G542" i="2"/>
  <c r="A541" i="2"/>
  <c r="G541" i="2"/>
  <c r="A540" i="2"/>
  <c r="G540" i="2"/>
  <c r="A539" i="2"/>
  <c r="G539" i="2"/>
  <c r="A538" i="2"/>
  <c r="G538" i="2"/>
  <c r="A537" i="2"/>
  <c r="G537" i="2"/>
  <c r="A536" i="2"/>
  <c r="G536" i="2"/>
  <c r="A535" i="2"/>
  <c r="G535" i="2"/>
  <c r="A534" i="2"/>
  <c r="G534" i="2"/>
  <c r="A533" i="2"/>
  <c r="G533" i="2"/>
  <c r="A532" i="2"/>
  <c r="G532" i="2"/>
  <c r="A531" i="2"/>
  <c r="G531" i="2"/>
  <c r="A530" i="2"/>
  <c r="G530" i="2"/>
  <c r="A529" i="2"/>
  <c r="G529" i="2"/>
  <c r="A528" i="2"/>
  <c r="G528" i="2"/>
  <c r="A527" i="2"/>
  <c r="G527" i="2"/>
  <c r="A526" i="2"/>
  <c r="G526" i="2"/>
  <c r="A525" i="2"/>
  <c r="G525" i="2"/>
  <c r="A524" i="2"/>
  <c r="G524" i="2"/>
  <c r="A523" i="2"/>
  <c r="G523" i="2"/>
  <c r="A522" i="2"/>
  <c r="G522" i="2"/>
  <c r="A521" i="2"/>
  <c r="G521" i="2"/>
  <c r="A520" i="2"/>
  <c r="G520" i="2"/>
  <c r="A519" i="2"/>
  <c r="G519" i="2"/>
  <c r="A518" i="2"/>
  <c r="G518" i="2"/>
  <c r="A517" i="2"/>
  <c r="G517" i="2"/>
  <c r="A516" i="2"/>
  <c r="G516" i="2"/>
  <c r="A515" i="2"/>
  <c r="G515" i="2"/>
  <c r="A514" i="2"/>
  <c r="G514" i="2"/>
  <c r="A513" i="2"/>
  <c r="G513" i="2"/>
  <c r="A512" i="2"/>
  <c r="G512" i="2"/>
  <c r="A511" i="2"/>
  <c r="G511" i="2"/>
  <c r="A510" i="2"/>
  <c r="G510" i="2"/>
  <c r="A509" i="2"/>
  <c r="G509" i="2"/>
  <c r="A508" i="2"/>
  <c r="G508" i="2"/>
  <c r="A507" i="2"/>
  <c r="G507" i="2"/>
  <c r="G505" i="2"/>
  <c r="A506" i="2"/>
  <c r="G506" i="2"/>
  <c r="A505" i="2"/>
  <c r="A504" i="2"/>
  <c r="G504" i="2"/>
  <c r="A503" i="2"/>
  <c r="G503" i="2"/>
  <c r="A502" i="2"/>
  <c r="G502" i="2"/>
  <c r="A501" i="2"/>
  <c r="G501" i="2"/>
  <c r="A500" i="2"/>
  <c r="G500" i="2"/>
  <c r="A499" i="2"/>
  <c r="G499" i="2"/>
  <c r="A498" i="2"/>
  <c r="G498" i="2"/>
  <c r="A497" i="2"/>
  <c r="G497" i="2"/>
  <c r="A496" i="2"/>
  <c r="G496" i="2"/>
  <c r="A495" i="2"/>
  <c r="G495" i="2"/>
  <c r="A494" i="2"/>
  <c r="G494" i="2"/>
  <c r="A493" i="2"/>
  <c r="G493" i="2"/>
  <c r="A492" i="2"/>
  <c r="G492" i="2"/>
  <c r="A491" i="2"/>
  <c r="G491" i="2"/>
  <c r="A490" i="2"/>
  <c r="G490" i="2"/>
  <c r="A489" i="2"/>
  <c r="G489" i="2"/>
  <c r="A488" i="2"/>
  <c r="G488" i="2"/>
  <c r="A487" i="2"/>
  <c r="G487" i="2"/>
  <c r="A486" i="2"/>
  <c r="G486" i="2"/>
  <c r="A485" i="2"/>
  <c r="G485" i="2"/>
  <c r="A484" i="2"/>
  <c r="G484" i="2"/>
  <c r="A483" i="2"/>
  <c r="G483" i="2"/>
  <c r="A482" i="2"/>
  <c r="G482" i="2"/>
  <c r="A481" i="2"/>
  <c r="G481" i="2"/>
  <c r="A480" i="2"/>
  <c r="G480" i="2"/>
  <c r="A479" i="2"/>
  <c r="G479" i="2"/>
  <c r="A478" i="2"/>
  <c r="G478" i="2"/>
  <c r="A477" i="2"/>
  <c r="G477" i="2"/>
  <c r="A476" i="2"/>
  <c r="G476" i="2"/>
  <c r="A475" i="2"/>
  <c r="G475" i="2"/>
  <c r="A474" i="2"/>
  <c r="G474" i="2"/>
  <c r="A473" i="2"/>
  <c r="G473" i="2"/>
  <c r="A472" i="2"/>
  <c r="G472" i="2"/>
  <c r="A471" i="2"/>
  <c r="G471" i="2"/>
  <c r="A470" i="2"/>
  <c r="G470" i="2"/>
  <c r="A469" i="2"/>
  <c r="G469" i="2"/>
  <c r="A468" i="2"/>
  <c r="G468" i="2"/>
  <c r="A467" i="2"/>
  <c r="G467" i="2"/>
  <c r="A466" i="2"/>
  <c r="G466" i="2"/>
  <c r="A465" i="2"/>
  <c r="G465" i="2"/>
  <c r="A464" i="2"/>
  <c r="G464" i="2"/>
  <c r="A463" i="2"/>
  <c r="G463" i="2"/>
  <c r="A462" i="2"/>
  <c r="G462" i="2"/>
  <c r="A461" i="2"/>
  <c r="G461" i="2"/>
  <c r="A460" i="2"/>
  <c r="G460" i="2"/>
  <c r="A459" i="2"/>
  <c r="G459" i="2"/>
  <c r="A458" i="2"/>
  <c r="G458" i="2"/>
  <c r="A457" i="2"/>
  <c r="G457" i="2"/>
  <c r="A456" i="2"/>
  <c r="G456" i="2"/>
  <c r="A455" i="2"/>
  <c r="G455" i="2"/>
  <c r="A454" i="2"/>
  <c r="G454" i="2"/>
  <c r="A453" i="2"/>
  <c r="G453" i="2"/>
  <c r="A452" i="2"/>
  <c r="G452" i="2"/>
  <c r="A451" i="2"/>
  <c r="G451" i="2"/>
  <c r="A450" i="2"/>
  <c r="G450" i="2"/>
  <c r="A449" i="2"/>
  <c r="G449" i="2"/>
  <c r="A448" i="2"/>
  <c r="G448" i="2"/>
  <c r="A447" i="2"/>
  <c r="G447" i="2"/>
  <c r="A446" i="2"/>
  <c r="G446" i="2"/>
  <c r="A445" i="2"/>
  <c r="G445" i="2"/>
  <c r="A444" i="2"/>
  <c r="G444" i="2"/>
  <c r="A443" i="2"/>
  <c r="G443" i="2"/>
  <c r="A442" i="2"/>
  <c r="G442" i="2"/>
  <c r="A441" i="2"/>
  <c r="G441" i="2"/>
  <c r="A440" i="2"/>
  <c r="G440" i="2"/>
  <c r="A439" i="2"/>
  <c r="G439" i="2"/>
  <c r="A438" i="2"/>
  <c r="G438" i="2"/>
  <c r="A437" i="2"/>
  <c r="G437" i="2"/>
  <c r="A436" i="2"/>
  <c r="G436" i="2"/>
  <c r="A435" i="2"/>
  <c r="G435" i="2"/>
  <c r="A434" i="2"/>
  <c r="G434" i="2"/>
  <c r="A433" i="2"/>
  <c r="G433" i="2"/>
  <c r="A432" i="2"/>
  <c r="G432" i="2"/>
  <c r="A431" i="2"/>
  <c r="G431" i="2"/>
  <c r="A430" i="2"/>
  <c r="G430" i="2"/>
  <c r="A429" i="2"/>
  <c r="G429" i="2"/>
  <c r="A428" i="2"/>
  <c r="G428" i="2"/>
  <c r="A427" i="2"/>
  <c r="G427" i="2"/>
  <c r="A426" i="2"/>
  <c r="G426" i="2"/>
  <c r="A425" i="2"/>
  <c r="G425" i="2"/>
  <c r="A424" i="2"/>
  <c r="G424" i="2"/>
  <c r="A423" i="2"/>
  <c r="G423" i="2"/>
  <c r="A422" i="2"/>
  <c r="G422" i="2"/>
  <c r="A421" i="2"/>
  <c r="G421" i="2"/>
  <c r="J5" i="11"/>
  <c r="K6" i="11" s="1"/>
  <c r="R13" i="11"/>
  <c r="A420" i="2"/>
  <c r="G420" i="2"/>
  <c r="A419" i="2"/>
  <c r="G419" i="2"/>
  <c r="A418" i="2"/>
  <c r="G418" i="2"/>
  <c r="A417" i="2"/>
  <c r="G417" i="2"/>
  <c r="A416" i="2"/>
  <c r="G416" i="2"/>
  <c r="A415" i="2"/>
  <c r="G415" i="2"/>
  <c r="A414" i="2"/>
  <c r="G414" i="2"/>
  <c r="A413" i="2"/>
  <c r="G413" i="2"/>
  <c r="A412" i="2"/>
  <c r="G412" i="2"/>
  <c r="A411" i="2"/>
  <c r="G411" i="2"/>
  <c r="A410" i="2"/>
  <c r="G410" i="2"/>
  <c r="A409" i="2"/>
  <c r="G409" i="2"/>
  <c r="A408" i="2"/>
  <c r="G408" i="2"/>
  <c r="A407" i="2"/>
  <c r="G407" i="2"/>
  <c r="A406" i="2"/>
  <c r="G406" i="2"/>
  <c r="A405" i="2"/>
  <c r="G405" i="2"/>
  <c r="A404" i="2"/>
  <c r="G404" i="2"/>
  <c r="A403" i="2"/>
  <c r="G403" i="2"/>
  <c r="A402" i="2"/>
  <c r="G402" i="2"/>
  <c r="A401" i="2"/>
  <c r="G401" i="2"/>
  <c r="A400" i="2"/>
  <c r="G400" i="2"/>
  <c r="A399" i="2"/>
  <c r="G399" i="2"/>
  <c r="A398" i="2"/>
  <c r="G398" i="2"/>
  <c r="A397" i="2"/>
  <c r="G397" i="2"/>
  <c r="A396" i="2"/>
  <c r="G396" i="2"/>
  <c r="A395" i="2"/>
  <c r="G395" i="2"/>
  <c r="A394" i="2"/>
  <c r="G394" i="2"/>
  <c r="A393" i="2"/>
  <c r="G393" i="2"/>
  <c r="A392" i="2"/>
  <c r="G392" i="2"/>
  <c r="A391" i="2"/>
  <c r="G391" i="2"/>
  <c r="A390" i="2"/>
  <c r="G390" i="2"/>
  <c r="A389" i="2"/>
  <c r="G389" i="2"/>
  <c r="A388" i="2"/>
  <c r="G388" i="2"/>
  <c r="A387" i="2"/>
  <c r="G387" i="2"/>
  <c r="A386" i="2"/>
  <c r="G386" i="2"/>
  <c r="A385" i="2"/>
  <c r="G385" i="2"/>
  <c r="A384" i="2"/>
  <c r="G384" i="2"/>
  <c r="A383" i="2"/>
  <c r="G383" i="2"/>
  <c r="A382" i="2"/>
  <c r="G382" i="2"/>
  <c r="A381" i="2"/>
  <c r="G381" i="2"/>
  <c r="A380" i="2"/>
  <c r="G380" i="2"/>
  <c r="A379" i="2"/>
  <c r="G379" i="2"/>
  <c r="A378" i="2"/>
  <c r="G378" i="2"/>
  <c r="A377" i="2"/>
  <c r="G377" i="2"/>
  <c r="A239" i="2"/>
  <c r="G239" i="2"/>
  <c r="A328" i="2"/>
  <c r="G328" i="2"/>
  <c r="A96" i="2"/>
  <c r="G96" i="2"/>
  <c r="A141" i="2"/>
  <c r="G141" i="2"/>
  <c r="A291" i="2"/>
  <c r="G291" i="2"/>
  <c r="A240" i="2"/>
  <c r="G240" i="2"/>
  <c r="A326" i="2"/>
  <c r="G326" i="2"/>
  <c r="A374" i="2"/>
  <c r="G374" i="2"/>
  <c r="A63" i="2"/>
  <c r="G63" i="2"/>
  <c r="A285" i="2"/>
  <c r="G285" i="2"/>
  <c r="J21" i="11"/>
  <c r="A376" i="2"/>
  <c r="G376" i="2"/>
  <c r="A375" i="2"/>
  <c r="G375" i="2"/>
  <c r="A373" i="2"/>
  <c r="G373" i="2"/>
  <c r="A372" i="2"/>
  <c r="G372" i="2"/>
  <c r="A371" i="2"/>
  <c r="G371" i="2"/>
  <c r="A370" i="2"/>
  <c r="G370" i="2"/>
  <c r="A369" i="2"/>
  <c r="G369" i="2"/>
  <c r="A368" i="2"/>
  <c r="G368" i="2"/>
  <c r="J7" i="11"/>
  <c r="D7" i="11"/>
  <c r="A367" i="2"/>
  <c r="G367" i="2"/>
  <c r="A366" i="2"/>
  <c r="G366" i="2"/>
  <c r="A365" i="2"/>
  <c r="G365" i="2"/>
  <c r="A364" i="2"/>
  <c r="G364" i="2"/>
  <c r="A363" i="2"/>
  <c r="G363" i="2"/>
  <c r="A362" i="2"/>
  <c r="G362" i="2"/>
  <c r="A361" i="2"/>
  <c r="G361" i="2"/>
  <c r="A360" i="2"/>
  <c r="G360" i="2"/>
  <c r="A359" i="2"/>
  <c r="G359" i="2"/>
  <c r="A358" i="2"/>
  <c r="G358" i="2"/>
  <c r="A357" i="2"/>
  <c r="G357" i="2"/>
  <c r="A356" i="2"/>
  <c r="G356" i="2"/>
  <c r="A355" i="2"/>
  <c r="G355" i="2"/>
  <c r="W36" i="15"/>
  <c r="W48" i="15"/>
  <c r="W42" i="15"/>
  <c r="W44" i="15" s="1"/>
  <c r="W40" i="15"/>
  <c r="W38" i="15"/>
  <c r="A103" i="2"/>
  <c r="D6" i="2"/>
  <c r="D7" i="2"/>
  <c r="D8" i="2"/>
  <c r="A354" i="2"/>
  <c r="G354" i="2"/>
  <c r="A353" i="2"/>
  <c r="G353" i="2"/>
  <c r="A352" i="2"/>
  <c r="G352" i="2"/>
  <c r="A351" i="2"/>
  <c r="G351" i="2"/>
  <c r="A350" i="2"/>
  <c r="G350" i="2"/>
  <c r="A349" i="2"/>
  <c r="G349" i="2"/>
  <c r="A348" i="2"/>
  <c r="G348" i="2"/>
  <c r="A347" i="2"/>
  <c r="G347" i="2"/>
  <c r="A346" i="2"/>
  <c r="G346" i="2"/>
  <c r="A345" i="2"/>
  <c r="G345" i="2"/>
  <c r="D13" i="11"/>
  <c r="D15" i="11" s="1"/>
  <c r="A344" i="2"/>
  <c r="G344" i="2"/>
  <c r="A343" i="2"/>
  <c r="G343" i="2"/>
  <c r="A342" i="2"/>
  <c r="G342" i="2"/>
  <c r="A341" i="2"/>
  <c r="G341" i="2"/>
  <c r="A340" i="2"/>
  <c r="G340" i="2"/>
  <c r="A339" i="2"/>
  <c r="G339" i="2"/>
  <c r="A338" i="2"/>
  <c r="G338" i="2"/>
  <c r="A337" i="2"/>
  <c r="G337" i="2"/>
  <c r="A336" i="2"/>
  <c r="G336" i="2"/>
  <c r="A335" i="2"/>
  <c r="G335" i="2"/>
  <c r="A334" i="2"/>
  <c r="G334" i="2"/>
  <c r="A333" i="2"/>
  <c r="G333" i="2"/>
  <c r="A332" i="2"/>
  <c r="G332" i="2"/>
  <c r="A331" i="2"/>
  <c r="G331" i="2"/>
  <c r="A330" i="2"/>
  <c r="G330" i="2"/>
  <c r="A329" i="2"/>
  <c r="G329" i="2"/>
  <c r="A327" i="2"/>
  <c r="G327" i="2"/>
  <c r="A325" i="2"/>
  <c r="G325" i="2"/>
  <c r="A324" i="2"/>
  <c r="G324" i="2"/>
  <c r="A323" i="2"/>
  <c r="G323" i="2"/>
  <c r="A322" i="2"/>
  <c r="G322" i="2"/>
  <c r="A321" i="2"/>
  <c r="G321" i="2"/>
  <c r="J19" i="11"/>
  <c r="A320" i="2"/>
  <c r="G320" i="2"/>
  <c r="G313" i="2"/>
  <c r="G312" i="2"/>
  <c r="R17" i="11"/>
  <c r="J17" i="11"/>
  <c r="J9" i="11"/>
  <c r="J11" i="11"/>
  <c r="J13" i="11"/>
  <c r="J15" i="11" s="1"/>
  <c r="A319" i="2"/>
  <c r="G319" i="2"/>
  <c r="A318" i="2"/>
  <c r="G318" i="2"/>
  <c r="A317" i="2"/>
  <c r="G317" i="2"/>
  <c r="A316" i="2"/>
  <c r="G316" i="2"/>
  <c r="A315" i="2"/>
  <c r="G315" i="2"/>
  <c r="A314" i="2"/>
  <c r="G314" i="2"/>
  <c r="A313" i="2"/>
  <c r="A312" i="2"/>
  <c r="A311" i="2"/>
  <c r="G311" i="2"/>
  <c r="A310" i="2"/>
  <c r="G310" i="2"/>
  <c r="A309" i="2"/>
  <c r="G309" i="2"/>
  <c r="A308" i="2"/>
  <c r="G308" i="2"/>
  <c r="A307" i="2"/>
  <c r="G307" i="2"/>
  <c r="A306" i="2"/>
  <c r="G306" i="2"/>
  <c r="A305" i="2"/>
  <c r="G305" i="2"/>
  <c r="A304" i="2"/>
  <c r="G304" i="2"/>
  <c r="A303" i="2"/>
  <c r="G303" i="2"/>
  <c r="A302" i="2"/>
  <c r="G302" i="2"/>
  <c r="A301" i="2"/>
  <c r="G301" i="2"/>
  <c r="A300" i="2"/>
  <c r="G300" i="2"/>
  <c r="A299" i="2"/>
  <c r="G299" i="2"/>
  <c r="A298" i="2"/>
  <c r="G298" i="2"/>
  <c r="A297" i="2"/>
  <c r="G297" i="2"/>
  <c r="A296" i="2"/>
  <c r="G296" i="2"/>
  <c r="A295" i="2"/>
  <c r="G295" i="2"/>
  <c r="A294" i="2"/>
  <c r="G294" i="2"/>
  <c r="A293" i="2"/>
  <c r="G293" i="2"/>
  <c r="A292" i="2"/>
  <c r="G292" i="2"/>
  <c r="A290" i="2"/>
  <c r="G290" i="2"/>
  <c r="A289" i="2"/>
  <c r="G289" i="2"/>
  <c r="A288" i="2"/>
  <c r="G288" i="2"/>
  <c r="A287" i="2"/>
  <c r="G287" i="2"/>
  <c r="A286" i="2"/>
  <c r="G286" i="2"/>
  <c r="A284" i="2"/>
  <c r="G284" i="2"/>
  <c r="A283" i="2"/>
  <c r="G283" i="2"/>
  <c r="A282" i="2"/>
  <c r="G282" i="2"/>
  <c r="A281" i="2"/>
  <c r="G281" i="2"/>
  <c r="A280" i="2"/>
  <c r="G280" i="2"/>
  <c r="A279" i="2"/>
  <c r="G279" i="2"/>
  <c r="A278" i="2"/>
  <c r="G278" i="2"/>
  <c r="A277" i="2"/>
  <c r="G277" i="2"/>
  <c r="A276" i="2"/>
  <c r="G276" i="2"/>
  <c r="A275" i="2"/>
  <c r="G275" i="2"/>
  <c r="A274" i="2"/>
  <c r="G274" i="2"/>
  <c r="A273" i="2"/>
  <c r="G273" i="2"/>
  <c r="A272" i="2"/>
  <c r="G272" i="2"/>
  <c r="A271" i="2"/>
  <c r="G271" i="2"/>
  <c r="A270" i="2"/>
  <c r="G270" i="2"/>
  <c r="A269" i="2"/>
  <c r="G269" i="2"/>
  <c r="A268" i="2"/>
  <c r="G268" i="2"/>
  <c r="A267" i="2"/>
  <c r="G267" i="2"/>
  <c r="A266" i="2"/>
  <c r="G266" i="2"/>
  <c r="A265" i="2"/>
  <c r="G265" i="2"/>
  <c r="A264" i="2"/>
  <c r="G264" i="2"/>
  <c r="A263" i="2"/>
  <c r="G263" i="2"/>
  <c r="A262" i="2"/>
  <c r="G262" i="2"/>
  <c r="A261" i="2"/>
  <c r="G261" i="2"/>
  <c r="A260" i="2"/>
  <c r="G260" i="2"/>
  <c r="A259" i="2"/>
  <c r="G259" i="2"/>
  <c r="A258" i="2"/>
  <c r="G258" i="2"/>
  <c r="A257" i="2"/>
  <c r="G257" i="2"/>
  <c r="A256" i="2"/>
  <c r="G256" i="2"/>
  <c r="A255" i="2"/>
  <c r="G255" i="2"/>
  <c r="A254" i="2"/>
  <c r="G254" i="2"/>
  <c r="A253" i="2"/>
  <c r="G253" i="2"/>
  <c r="A252" i="2"/>
  <c r="G252" i="2"/>
  <c r="A251" i="2"/>
  <c r="G251" i="2"/>
  <c r="A250" i="2"/>
  <c r="G250" i="2"/>
  <c r="A249" i="2"/>
  <c r="G249" i="2"/>
  <c r="A248" i="2"/>
  <c r="G248" i="2"/>
  <c r="A247" i="2"/>
  <c r="G247" i="2"/>
  <c r="A246" i="2"/>
  <c r="G246" i="2"/>
  <c r="A245" i="2"/>
  <c r="G245" i="2"/>
  <c r="A244" i="2"/>
  <c r="G244" i="2"/>
  <c r="A243" i="2"/>
  <c r="G243" i="2"/>
  <c r="A242" i="2"/>
  <c r="G242" i="2"/>
  <c r="A241" i="2"/>
  <c r="G241" i="2"/>
  <c r="A238" i="2"/>
  <c r="G238" i="2"/>
  <c r="A237" i="2"/>
  <c r="G237" i="2"/>
  <c r="A236" i="2"/>
  <c r="G236" i="2"/>
  <c r="A235" i="2"/>
  <c r="G235" i="2"/>
  <c r="A234" i="2"/>
  <c r="G234" i="2"/>
  <c r="A233" i="2"/>
  <c r="G233" i="2"/>
  <c r="A232" i="2"/>
  <c r="G232" i="2"/>
  <c r="A231" i="2"/>
  <c r="G231" i="2"/>
  <c r="A230" i="2"/>
  <c r="G230" i="2"/>
  <c r="A229" i="2"/>
  <c r="G229" i="2"/>
  <c r="A228" i="2"/>
  <c r="G228" i="2"/>
  <c r="A227" i="2"/>
  <c r="G227" i="2"/>
  <c r="A226" i="2"/>
  <c r="G226" i="2"/>
  <c r="A225" i="2"/>
  <c r="G225" i="2"/>
  <c r="A224" i="2"/>
  <c r="G224" i="2"/>
  <c r="A223" i="2"/>
  <c r="G223" i="2"/>
  <c r="A222" i="2"/>
  <c r="G222" i="2"/>
  <c r="A221" i="2"/>
  <c r="G221" i="2"/>
  <c r="A220" i="2"/>
  <c r="G220" i="2"/>
  <c r="A219" i="2"/>
  <c r="G219" i="2"/>
  <c r="A218" i="2"/>
  <c r="G218" i="2"/>
  <c r="A217" i="2"/>
  <c r="G217" i="2"/>
  <c r="A216" i="2"/>
  <c r="G216" i="2"/>
  <c r="A215" i="2"/>
  <c r="G215" i="2"/>
  <c r="A214" i="2"/>
  <c r="G214" i="2"/>
  <c r="A213" i="2"/>
  <c r="G213" i="2"/>
  <c r="A212" i="2"/>
  <c r="G212" i="2"/>
  <c r="A211" i="2"/>
  <c r="G211" i="2"/>
  <c r="A210" i="2"/>
  <c r="G210" i="2"/>
  <c r="A209" i="2"/>
  <c r="G209" i="2"/>
  <c r="A208" i="2"/>
  <c r="G208" i="2"/>
  <c r="A207" i="2"/>
  <c r="G207" i="2"/>
  <c r="A206" i="2"/>
  <c r="G206" i="2"/>
  <c r="A205" i="2"/>
  <c r="G205" i="2"/>
  <c r="A204" i="2"/>
  <c r="G204" i="2"/>
  <c r="A203" i="2"/>
  <c r="G203" i="2"/>
  <c r="A202" i="2"/>
  <c r="G202" i="2"/>
  <c r="A201" i="2"/>
  <c r="G201" i="2"/>
  <c r="A200" i="2"/>
  <c r="G200" i="2"/>
  <c r="A199" i="2"/>
  <c r="G199" i="2"/>
  <c r="A198" i="2"/>
  <c r="G198" i="2"/>
  <c r="A197" i="2"/>
  <c r="G197" i="2"/>
  <c r="A196" i="2"/>
  <c r="G196" i="2"/>
  <c r="A195" i="2"/>
  <c r="G195" i="2"/>
  <c r="A194" i="2"/>
  <c r="G194" i="2"/>
  <c r="A193" i="2"/>
  <c r="G193" i="2"/>
  <c r="A192" i="2"/>
  <c r="G192" i="2"/>
  <c r="A191" i="2"/>
  <c r="G191" i="2"/>
  <c r="A190" i="2"/>
  <c r="G190" i="2"/>
  <c r="A189" i="2"/>
  <c r="G189" i="2"/>
  <c r="A188" i="2"/>
  <c r="G188" i="2"/>
  <c r="A187" i="2"/>
  <c r="G187" i="2"/>
  <c r="A186" i="2"/>
  <c r="G186" i="2"/>
  <c r="A185" i="2"/>
  <c r="G185" i="2"/>
  <c r="A184" i="2"/>
  <c r="G184" i="2"/>
  <c r="A183" i="2"/>
  <c r="G183" i="2"/>
  <c r="A182" i="2"/>
  <c r="G182" i="2"/>
  <c r="A181" i="2"/>
  <c r="G181" i="2"/>
  <c r="A180" i="2"/>
  <c r="G180" i="2"/>
  <c r="A179" i="2"/>
  <c r="G179" i="2"/>
  <c r="A178" i="2"/>
  <c r="G178" i="2"/>
  <c r="A177" i="2"/>
  <c r="G177" i="2"/>
  <c r="A176" i="2"/>
  <c r="G176" i="2"/>
  <c r="A175" i="2"/>
  <c r="G175" i="2"/>
  <c r="A174" i="2"/>
  <c r="G174" i="2"/>
  <c r="A173" i="2"/>
  <c r="G173" i="2"/>
  <c r="A172" i="2"/>
  <c r="G172" i="2"/>
  <c r="A171" i="2"/>
  <c r="G171" i="2"/>
  <c r="A170" i="2"/>
  <c r="G170" i="2"/>
  <c r="A169" i="2"/>
  <c r="G169" i="2"/>
  <c r="A168" i="2"/>
  <c r="G168" i="2"/>
  <c r="A167" i="2"/>
  <c r="G167" i="2"/>
  <c r="A166" i="2"/>
  <c r="G166" i="2"/>
  <c r="A165" i="2"/>
  <c r="G165" i="2"/>
  <c r="A164" i="2"/>
  <c r="G164" i="2"/>
  <c r="A163" i="2"/>
  <c r="G163" i="2"/>
  <c r="A162" i="2"/>
  <c r="G162" i="2"/>
  <c r="A161" i="2"/>
  <c r="G161" i="2"/>
  <c r="A160" i="2"/>
  <c r="G160" i="2"/>
  <c r="A159" i="2"/>
  <c r="G159" i="2"/>
  <c r="A158" i="2"/>
  <c r="G158" i="2"/>
  <c r="A157" i="2"/>
  <c r="G157" i="2"/>
  <c r="A156" i="2"/>
  <c r="G156" i="2"/>
  <c r="A155" i="2"/>
  <c r="G155" i="2"/>
  <c r="A154" i="2"/>
  <c r="G154" i="2"/>
  <c r="A153" i="2"/>
  <c r="G153" i="2"/>
  <c r="A152" i="2"/>
  <c r="G152" i="2"/>
  <c r="A151" i="2"/>
  <c r="G151" i="2"/>
  <c r="A150" i="2"/>
  <c r="G150" i="2"/>
  <c r="A149" i="2"/>
  <c r="G149" i="2"/>
  <c r="A148" i="2"/>
  <c r="G148" i="2"/>
  <c r="A147" i="2"/>
  <c r="G147" i="2"/>
  <c r="A146" i="2"/>
  <c r="G146" i="2"/>
  <c r="A145" i="2"/>
  <c r="G145" i="2"/>
  <c r="A144" i="2"/>
  <c r="G144" i="2"/>
  <c r="A143" i="2"/>
  <c r="G143" i="2"/>
  <c r="A142" i="2"/>
  <c r="G142" i="2"/>
  <c r="A140" i="2"/>
  <c r="G140" i="2"/>
  <c r="A139" i="2"/>
  <c r="G139" i="2"/>
  <c r="A138" i="2"/>
  <c r="G138" i="2"/>
  <c r="A137" i="2"/>
  <c r="G137" i="2"/>
  <c r="A136" i="2"/>
  <c r="G136" i="2"/>
  <c r="G102" i="2"/>
  <c r="G101" i="2"/>
  <c r="A102" i="2"/>
  <c r="A101" i="2"/>
  <c r="A135" i="2"/>
  <c r="G135" i="2"/>
  <c r="A134" i="2"/>
  <c r="G134" i="2"/>
  <c r="A133" i="2"/>
  <c r="G133" i="2"/>
  <c r="A132" i="2"/>
  <c r="G132" i="2"/>
  <c r="A131" i="2"/>
  <c r="G131" i="2"/>
  <c r="A130" i="2"/>
  <c r="G130" i="2"/>
  <c r="A129" i="2"/>
  <c r="G129" i="2"/>
  <c r="A128" i="2"/>
  <c r="G128" i="2"/>
  <c r="A127" i="2"/>
  <c r="G127" i="2"/>
  <c r="A126" i="2"/>
  <c r="G126" i="2"/>
  <c r="A125" i="2"/>
  <c r="G125" i="2"/>
  <c r="A124" i="2"/>
  <c r="G124" i="2"/>
  <c r="A123" i="2"/>
  <c r="G123" i="2"/>
  <c r="A122" i="2"/>
  <c r="G122" i="2"/>
  <c r="A121" i="2"/>
  <c r="G121" i="2"/>
  <c r="A120" i="2"/>
  <c r="G120" i="2"/>
  <c r="A119" i="2"/>
  <c r="G119" i="2"/>
  <c r="A118" i="2"/>
  <c r="G118" i="2"/>
  <c r="A117" i="2"/>
  <c r="G117" i="2"/>
  <c r="A116" i="2"/>
  <c r="G116" i="2"/>
  <c r="A100" i="2"/>
  <c r="G100" i="2"/>
  <c r="A115" i="2"/>
  <c r="G115" i="2"/>
  <c r="A114" i="2"/>
  <c r="G114" i="2"/>
  <c r="A113" i="2"/>
  <c r="G113" i="2"/>
  <c r="A112" i="2"/>
  <c r="G112" i="2"/>
  <c r="A111" i="2"/>
  <c r="G111" i="2"/>
  <c r="A110" i="2"/>
  <c r="G110" i="2"/>
  <c r="A109" i="2"/>
  <c r="G109" i="2"/>
  <c r="A108" i="2"/>
  <c r="G108" i="2"/>
  <c r="D19" i="11"/>
  <c r="A107" i="2"/>
  <c r="G107" i="2"/>
  <c r="A106" i="2"/>
  <c r="G106" i="2"/>
  <c r="A105" i="2"/>
  <c r="G105" i="2"/>
  <c r="A104" i="2"/>
  <c r="G104" i="2"/>
  <c r="G103" i="2"/>
  <c r="A99" i="2"/>
  <c r="G99" i="2"/>
  <c r="A98" i="2"/>
  <c r="G98" i="2"/>
  <c r="A97" i="2"/>
  <c r="G97" i="2"/>
  <c r="A95" i="2"/>
  <c r="G95" i="2"/>
  <c r="A94" i="2"/>
  <c r="G94" i="2"/>
  <c r="A93" i="2"/>
  <c r="G93" i="2"/>
  <c r="A92" i="2"/>
  <c r="G92" i="2"/>
  <c r="A91" i="2"/>
  <c r="G91" i="2"/>
  <c r="A90" i="2"/>
  <c r="G90" i="2"/>
  <c r="A89" i="2"/>
  <c r="G89" i="2"/>
  <c r="A88" i="2"/>
  <c r="G88" i="2"/>
  <c r="A87" i="2"/>
  <c r="G87" i="2"/>
  <c r="A86" i="2"/>
  <c r="G86" i="2"/>
  <c r="A85" i="2"/>
  <c r="G85" i="2"/>
  <c r="A84" i="2"/>
  <c r="G84" i="2"/>
  <c r="A83" i="2"/>
  <c r="G83" i="2"/>
  <c r="A82" i="2"/>
  <c r="G82" i="2"/>
  <c r="A81" i="2"/>
  <c r="G81" i="2"/>
  <c r="A80" i="2"/>
  <c r="G80" i="2"/>
  <c r="A79" i="2"/>
  <c r="G79" i="2"/>
  <c r="A78" i="2"/>
  <c r="G78" i="2"/>
  <c r="A77" i="2"/>
  <c r="G77" i="2"/>
  <c r="A76" i="2"/>
  <c r="G76" i="2"/>
  <c r="A75" i="2"/>
  <c r="G75" i="2"/>
  <c r="A74" i="2"/>
  <c r="G74" i="2"/>
  <c r="A73" i="2"/>
  <c r="G73" i="2"/>
  <c r="A72" i="2"/>
  <c r="A71" i="2"/>
  <c r="G71" i="2"/>
  <c r="G72" i="2"/>
  <c r="A70" i="2"/>
  <c r="G70" i="2"/>
  <c r="D9" i="11"/>
  <c r="D11" i="11"/>
  <c r="A69" i="2"/>
  <c r="G69" i="2"/>
  <c r="A68" i="2"/>
  <c r="G68" i="2"/>
  <c r="A67" i="2"/>
  <c r="G67" i="2"/>
  <c r="A66" i="2"/>
  <c r="G66" i="2"/>
  <c r="A65" i="2"/>
  <c r="G6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4" i="2"/>
  <c r="G64" i="2"/>
  <c r="G60" i="2"/>
  <c r="G61" i="2"/>
  <c r="G62" i="2"/>
  <c r="G59" i="2"/>
  <c r="G58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57" i="2"/>
  <c r="G55" i="2"/>
  <c r="G56" i="2"/>
  <c r="G54" i="2"/>
  <c r="G53" i="2"/>
  <c r="G52" i="2"/>
  <c r="G51" i="2"/>
  <c r="G50" i="2"/>
  <c r="G49" i="2"/>
  <c r="G48" i="2"/>
  <c r="G46" i="2"/>
  <c r="G47" i="2"/>
  <c r="G19" i="2"/>
  <c r="G20" i="2"/>
  <c r="G21" i="2"/>
  <c r="G22" i="2"/>
  <c r="G23" i="2"/>
  <c r="G24" i="2"/>
  <c r="G25" i="2"/>
  <c r="G26" i="2"/>
  <c r="G27" i="2"/>
  <c r="G28" i="2"/>
  <c r="G29" i="2"/>
  <c r="G45" i="2"/>
  <c r="G44" i="2"/>
  <c r="G43" i="2"/>
  <c r="G41" i="2"/>
  <c r="G42" i="2"/>
  <c r="G40" i="2"/>
  <c r="G39" i="2"/>
  <c r="G38" i="2"/>
  <c r="G37" i="2"/>
  <c r="G36" i="2"/>
  <c r="G35" i="2"/>
  <c r="G34" i="2"/>
  <c r="G33" i="2"/>
  <c r="G32" i="2"/>
  <c r="G31" i="2"/>
  <c r="G30" i="2"/>
  <c r="E48" i="15"/>
  <c r="Q56" i="15" l="1"/>
  <c r="K56" i="15"/>
  <c r="E56" i="15"/>
  <c r="W29" i="15"/>
  <c r="Q29" i="15"/>
  <c r="K29" i="15"/>
  <c r="E29" i="15"/>
  <c r="L9" i="11"/>
  <c r="R9" i="11"/>
  <c r="R7" i="11" s="1"/>
  <c r="E36" i="15"/>
  <c r="W11" i="15"/>
  <c r="K9" i="15"/>
  <c r="W34" i="15"/>
  <c r="E19" i="15"/>
  <c r="E40" i="15"/>
  <c r="D21" i="11"/>
  <c r="L21" i="11" s="1"/>
  <c r="E42" i="15"/>
  <c r="E44" i="15" s="1"/>
  <c r="E13" i="15"/>
  <c r="K11" i="11" s="1"/>
  <c r="K19" i="15"/>
  <c r="E9" i="15"/>
  <c r="E11" i="15"/>
  <c r="Q21" i="15"/>
  <c r="K40" i="15"/>
  <c r="K42" i="15"/>
  <c r="K44" i="15" s="1"/>
  <c r="W23" i="15"/>
  <c r="K23" i="15"/>
  <c r="E46" i="15"/>
  <c r="K21" i="15"/>
  <c r="Q34" i="15"/>
  <c r="K34" i="15"/>
  <c r="K7" i="15"/>
  <c r="Q7" i="15"/>
  <c r="W15" i="15"/>
  <c r="W17" i="15" s="1"/>
  <c r="L7" i="11"/>
  <c r="E23" i="15"/>
  <c r="Q13" i="15"/>
  <c r="K48" i="15"/>
  <c r="K36" i="15"/>
  <c r="W9" i="15"/>
  <c r="Q19" i="15"/>
  <c r="K15" i="15"/>
  <c r="K17" i="15" s="1"/>
  <c r="K11" i="15"/>
  <c r="W50" i="15"/>
  <c r="W13" i="15"/>
  <c r="W19" i="15"/>
  <c r="E50" i="15"/>
  <c r="Q40" i="15"/>
  <c r="E15" i="15"/>
  <c r="E17" i="15" s="1"/>
  <c r="K13" i="15"/>
  <c r="W7" i="15"/>
  <c r="K50" i="15"/>
  <c r="Q15" i="15"/>
  <c r="Q17" i="15" s="1"/>
  <c r="E21" i="15"/>
  <c r="Q48" i="15"/>
  <c r="E38" i="15"/>
  <c r="K38" i="15"/>
  <c r="Q36" i="15"/>
  <c r="W21" i="15"/>
  <c r="K46" i="15"/>
  <c r="Q11" i="15"/>
  <c r="Q42" i="15"/>
  <c r="Q44" i="15" s="1"/>
  <c r="Q23" i="15"/>
  <c r="E34" i="15"/>
  <c r="Q9" i="15"/>
  <c r="Q46" i="15"/>
  <c r="Q38" i="15"/>
  <c r="Q50" i="15"/>
  <c r="E7" i="15"/>
  <c r="L27" i="11"/>
  <c r="L19" i="11"/>
  <c r="L11" i="11"/>
  <c r="L13" i="11"/>
  <c r="J25" i="11"/>
  <c r="J23" i="11"/>
  <c r="L15" i="11"/>
  <c r="D17" i="11"/>
  <c r="W46" i="15"/>
  <c r="R11" i="11"/>
  <c r="K17" i="11" l="1"/>
  <c r="E52" i="15"/>
  <c r="E54" i="15"/>
  <c r="K27" i="15"/>
  <c r="K25" i="15"/>
  <c r="K9" i="11"/>
  <c r="K7" i="11"/>
  <c r="K21" i="11"/>
  <c r="K27" i="11"/>
  <c r="K19" i="11"/>
  <c r="Q27" i="15"/>
  <c r="K52" i="15"/>
  <c r="K15" i="11"/>
  <c r="W27" i="15"/>
  <c r="W25" i="15"/>
  <c r="K54" i="15"/>
  <c r="Q25" i="15"/>
  <c r="K13" i="11"/>
  <c r="Q54" i="15"/>
  <c r="Q52" i="15"/>
  <c r="E25" i="15"/>
  <c r="K23" i="11" s="1"/>
  <c r="D25" i="11"/>
  <c r="D23" i="11"/>
  <c r="L23" i="11" s="1"/>
  <c r="L17" i="11"/>
  <c r="E27" i="15"/>
  <c r="K25" i="11" s="1"/>
  <c r="W52" i="15"/>
  <c r="W54" i="15"/>
  <c r="L25" i="11" l="1"/>
  <c r="R19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Orders!$A$1:$AD$372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OrdersA1AD3721"/>
        </x15:connection>
      </ext>
    </extLst>
  </connection>
  <connection id="3" xr16:uid="{00000000-0015-0000-FFFF-FFFF02000000}" name="WorksheetConnection_Orders!$A$1:$U$372" type="102" refreshedVersion="6" minRefreshableVersion="5">
    <extLst>
      <ext xmlns:x15="http://schemas.microsoft.com/office/spreadsheetml/2010/11/main" uri="{DE250136-89BD-433C-8126-D09CA5730AF9}">
        <x15:connection id="Range 1">
          <x15:rangePr sourceName="_xlcn.WorksheetConnection_OrdersA1U3721"/>
        </x15:connection>
      </ext>
    </extLst>
  </connection>
  <connection id="4" xr16:uid="{00000000-0015-0000-FFFF-FFFF03000000}" name="WorksheetConnection_Table3" type="102" refreshedVersion="8" minRefreshableVersion="5">
    <extLst>
      <ext xmlns:x15="http://schemas.microsoft.com/office/spreadsheetml/2010/11/main" uri="{DE250136-89BD-433C-8126-D09CA5730AF9}">
        <x15:connection id="Table3">
          <x15:rangePr sourceName="_xlcn.WorksheetConnection_Table31"/>
        </x15:connection>
      </ext>
    </extLst>
  </connection>
</connections>
</file>

<file path=xl/sharedStrings.xml><?xml version="1.0" encoding="utf-8"?>
<sst xmlns="http://schemas.openxmlformats.org/spreadsheetml/2006/main" count="4118" uniqueCount="84">
  <si>
    <t>Frisco</t>
  </si>
  <si>
    <t>Lewisville</t>
  </si>
  <si>
    <t>Date</t>
  </si>
  <si>
    <t>Cost</t>
  </si>
  <si>
    <t>Tip</t>
  </si>
  <si>
    <t>Tip Percentage</t>
  </si>
  <si>
    <t>Order Time</t>
  </si>
  <si>
    <t>Delivery Time</t>
  </si>
  <si>
    <t>City</t>
  </si>
  <si>
    <t>Total Delivery Time</t>
  </si>
  <si>
    <t>Preorder</t>
  </si>
  <si>
    <t>Plano</t>
  </si>
  <si>
    <t>The Colony</t>
  </si>
  <si>
    <t>Average Tip %</t>
  </si>
  <si>
    <t>Average Tip $</t>
  </si>
  <si>
    <t>Average Delivery Time</t>
  </si>
  <si>
    <t>Yes</t>
  </si>
  <si>
    <t>Total Tip $</t>
  </si>
  <si>
    <t>Order #</t>
  </si>
  <si>
    <t>Average</t>
  </si>
  <si>
    <t>No</t>
  </si>
  <si>
    <t>Gated Community</t>
  </si>
  <si>
    <t>Starwood Estates</t>
  </si>
  <si>
    <t>Hills of Kingswood</t>
  </si>
  <si>
    <t>Villages of Stonebriar Park</t>
  </si>
  <si>
    <t>Stonebriar North</t>
  </si>
  <si>
    <t>Heritage Lakes Community</t>
  </si>
  <si>
    <t>McKinney</t>
  </si>
  <si>
    <t>Average Tip $ per Hour</t>
  </si>
  <si>
    <t>Average Orders per Day</t>
  </si>
  <si>
    <t>Delivery Fee</t>
  </si>
  <si>
    <t>Average Delivery Fees</t>
  </si>
  <si>
    <t>Hourly Pay</t>
  </si>
  <si>
    <t>Hours per Night</t>
  </si>
  <si>
    <t>Average Pay per Night</t>
  </si>
  <si>
    <t>Total Pay to Date</t>
  </si>
  <si>
    <t>Carrolton</t>
  </si>
  <si>
    <t>Average Tip $ per Night</t>
  </si>
  <si>
    <t>Housing</t>
  </si>
  <si>
    <t>Residential</t>
  </si>
  <si>
    <t>Hotel</t>
  </si>
  <si>
    <t>Apartment</t>
  </si>
  <si>
    <t>Business</t>
  </si>
  <si>
    <t>Normandy Estates</t>
  </si>
  <si>
    <t>Total</t>
  </si>
  <si>
    <t>Tip $ total</t>
  </si>
  <si>
    <t>Number of Orders</t>
  </si>
  <si>
    <t>Total Pay for Night</t>
  </si>
  <si>
    <t>Total Number of Orders</t>
  </si>
  <si>
    <t>Constants</t>
  </si>
  <si>
    <t>Total Delivery Fees</t>
  </si>
  <si>
    <t>Last Delivery Night</t>
  </si>
  <si>
    <t>Average Pay per Hour</t>
  </si>
  <si>
    <t>Sunday</t>
  </si>
  <si>
    <t>Monday</t>
  </si>
  <si>
    <t>Tuesday</t>
  </si>
  <si>
    <t>Wednesday</t>
  </si>
  <si>
    <t>Thursday</t>
  </si>
  <si>
    <t>Friday</t>
  </si>
  <si>
    <t>Saturday</t>
  </si>
  <si>
    <t>Weekday</t>
  </si>
  <si>
    <t>Match</t>
  </si>
  <si>
    <t>Number of Days Worked</t>
  </si>
  <si>
    <t>Total Number of Days Worked</t>
  </si>
  <si>
    <t>Overall</t>
  </si>
  <si>
    <t>Average Order Cost</t>
  </si>
  <si>
    <t>Compared to</t>
  </si>
  <si>
    <t>Average Total Delivery Fees</t>
  </si>
  <si>
    <t>Total Hours Worked</t>
  </si>
  <si>
    <t>Allen</t>
  </si>
  <si>
    <t>Row Labels</t>
  </si>
  <si>
    <t>Grand Total</t>
  </si>
  <si>
    <t>Average of Tip</t>
  </si>
  <si>
    <t>Average of Tip Percentage</t>
  </si>
  <si>
    <t>Count of Housing</t>
  </si>
  <si>
    <t>Count of City</t>
  </si>
  <si>
    <t>Count of Gated Community</t>
  </si>
  <si>
    <t>Total Delivery Time (Minutes)</t>
  </si>
  <si>
    <t>Weekday Statistics</t>
  </si>
  <si>
    <t>Personal Statistics</t>
  </si>
  <si>
    <t>Tip Average Heatmap by Housing</t>
  </si>
  <si>
    <t>Charts</t>
  </si>
  <si>
    <t>Pivot Tables</t>
  </si>
  <si>
    <t>Delivery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</si>
</sst>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h:mm;@"/>
    <numFmt numFmtId="166" formatCode="[$-409]h:mm\ AM/PM;@"/>
    <numFmt numFmtId="167" formatCode="m/d/yy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0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0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/>
    <xf numFmtId="164" fontId="3" fillId="0" borderId="0" xfId="0" applyNumberFormat="1" applyFont="1"/>
    <xf numFmtId="10" fontId="3" fillId="0" borderId="0" xfId="0" applyNumberFormat="1" applyFont="1"/>
    <xf numFmtId="166" fontId="3" fillId="0" borderId="0" xfId="0" applyNumberFormat="1" applyFont="1"/>
    <xf numFmtId="0" fontId="3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applyFont="1"/>
    <xf numFmtId="1" fontId="3" fillId="0" borderId="0" xfId="0" applyNumberFormat="1" applyFont="1"/>
    <xf numFmtId="14" fontId="3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/>
    <xf numFmtId="0" fontId="4" fillId="0" borderId="0" xfId="0" applyFont="1" applyProtection="1">
      <protection locked="0"/>
    </xf>
    <xf numFmtId="1" fontId="1" fillId="0" borderId="0" xfId="0" applyNumberFormat="1" applyFont="1"/>
    <xf numFmtId="14" fontId="1" fillId="0" borderId="0" xfId="0" applyNumberFormat="1" applyFont="1"/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Protection="1">
      <protection locked="0"/>
    </xf>
    <xf numFmtId="167" fontId="5" fillId="0" borderId="0" xfId="0" applyNumberFormat="1" applyFont="1"/>
    <xf numFmtId="2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10" fontId="2" fillId="0" borderId="1" xfId="0" applyNumberFormat="1" applyFont="1" applyBorder="1"/>
    <xf numFmtId="4" fontId="2" fillId="0" borderId="1" xfId="0" applyNumberFormat="1" applyFont="1" applyBorder="1"/>
    <xf numFmtId="2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1" fontId="0" fillId="0" borderId="0" xfId="0" applyNumberFormat="1"/>
    <xf numFmtId="165" fontId="3" fillId="0" borderId="0" xfId="0" applyNumberFormat="1" applyFont="1"/>
    <xf numFmtId="1" fontId="2" fillId="0" borderId="0" xfId="0" applyNumberFormat="1" applyFont="1"/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164" fontId="2" fillId="0" borderId="0" xfId="0" applyNumberFormat="1" applyFont="1" applyBorder="1"/>
    <xf numFmtId="4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applyFont="1" applyAlignment="1"/>
    <xf numFmtId="0" fontId="8" fillId="0" borderId="0" xfId="0" applyFont="1" applyAlignment="1">
      <alignment vertical="center"/>
    </xf>
    <xf numFmtId="0" fontId="2" fillId="0" borderId="3" xfId="0" applyFont="1" applyBorder="1"/>
    <xf numFmtId="164" fontId="2" fillId="0" borderId="4" xfId="0" applyNumberFormat="1" applyFont="1" applyBorder="1"/>
  </cellXfs>
  <cellStyles count="1">
    <cellStyle name="Normal" xfId="0" builtinId="0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-409]h:mm\ AM/PM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-409]h:mm\ AM/PM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539DD"/>
      <color rgb="FFE638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Tables!PivotTable1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Tip</a:t>
            </a:r>
            <a:r>
              <a:rPr lang="en-US" baseline="0"/>
              <a:t> by Housing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D-40D5-BA85-7C2D49A11A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Tables'!$A$6:$A$10</c:f>
              <c:strCache>
                <c:ptCount val="4"/>
                <c:pt idx="0">
                  <c:v>Business</c:v>
                </c:pt>
                <c:pt idx="1">
                  <c:v>Residential</c:v>
                </c:pt>
                <c:pt idx="2">
                  <c:v>Hotel</c:v>
                </c:pt>
                <c:pt idx="3">
                  <c:v>Apartment</c:v>
                </c:pt>
              </c:strCache>
            </c:strRef>
          </c:cat>
          <c:val>
            <c:numRef>
              <c:f>'Pivot Tables'!$B$6:$B$10</c:f>
              <c:numCache>
                <c:formatCode>"$"#,##0.00</c:formatCode>
                <c:ptCount val="4"/>
                <c:pt idx="0">
                  <c:v>7.7445833333333338</c:v>
                </c:pt>
                <c:pt idx="1">
                  <c:v>7.4383066132264561</c:v>
                </c:pt>
                <c:pt idx="2">
                  <c:v>6.888358208955224</c:v>
                </c:pt>
                <c:pt idx="3">
                  <c:v>5.3251234567901236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D-40D5-BA85-7C2D49A1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811904"/>
        <c:axId val="588824504"/>
      </c:barChart>
      <c:catAx>
        <c:axId val="5888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24504"/>
        <c:crosses val="autoZero"/>
        <c:auto val="1"/>
        <c:lblAlgn val="ctr"/>
        <c:lblOffset val="100"/>
        <c:noMultiLvlLbl val="0"/>
      </c:catAx>
      <c:valAx>
        <c:axId val="5888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1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Tables!PivotTable2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Tip Percentage by Housing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FD-4F72-9F0F-3BD66C01A1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Tables'!$D$6:$D$10</c:f>
              <c:strCache>
                <c:ptCount val="4"/>
                <c:pt idx="0">
                  <c:v>Hotel</c:v>
                </c:pt>
                <c:pt idx="1">
                  <c:v>Residential</c:v>
                </c:pt>
                <c:pt idx="2">
                  <c:v>Apartment</c:v>
                </c:pt>
                <c:pt idx="3">
                  <c:v>Business</c:v>
                </c:pt>
              </c:strCache>
            </c:strRef>
          </c:cat>
          <c:val>
            <c:numRef>
              <c:f>'Pivot Tables'!$E$6:$E$10</c:f>
              <c:numCache>
                <c:formatCode>0.00%</c:formatCode>
                <c:ptCount val="4"/>
                <c:pt idx="0">
                  <c:v>0.19810177112095737</c:v>
                </c:pt>
                <c:pt idx="1">
                  <c:v>0.1917161523352226</c:v>
                </c:pt>
                <c:pt idx="2">
                  <c:v>0.18949876169840218</c:v>
                </c:pt>
                <c:pt idx="3">
                  <c:v>0.16045320429614349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D-4F72-9F0F-3BD66C01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817824"/>
        <c:axId val="656818544"/>
      </c:barChart>
      <c:catAx>
        <c:axId val="6568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818544"/>
        <c:crosses val="autoZero"/>
        <c:auto val="1"/>
        <c:lblAlgn val="ctr"/>
        <c:lblOffset val="100"/>
        <c:noMultiLvlLbl val="0"/>
      </c:catAx>
      <c:valAx>
        <c:axId val="65681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8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Tables!PivotTable3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</a:t>
            </a:r>
            <a:r>
              <a:rPr lang="en-US" baseline="0"/>
              <a:t> Ratio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9766571629872973"/>
              <c:y val="1.4375561545372867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'Pivot Tables'!$H$5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8B-4784-B027-3FC9DE3DCA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8B-4784-B027-3FC9DE3DCA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8B-4784-B027-3FC9DE3DCA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8B-4784-B027-3FC9DE3DCA83}"/>
              </c:ext>
            </c:extLst>
          </c:dPt>
          <c:dLbls>
            <c:dLbl>
              <c:idx val="3"/>
              <c:layout>
                <c:manualLayout>
                  <c:x val="0.19766571629872973"/>
                  <c:y val="1.4375561545372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B-4784-B027-3FC9DE3DCA8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'Pivot Tables'!$G$6:$G$10</c:f>
              <c:strCache>
                <c:ptCount val="4"/>
                <c:pt idx="0">
                  <c:v>Residential</c:v>
                </c:pt>
                <c:pt idx="1">
                  <c:v>Apartment</c:v>
                </c:pt>
                <c:pt idx="2">
                  <c:v>Hotel</c:v>
                </c:pt>
                <c:pt idx="3">
                  <c:v>Business</c:v>
                </c:pt>
              </c:strCache>
            </c:strRef>
          </c:cat>
          <c:val>
            <c:numRef>
              <c:f>'Pivot Tables'!$H$6:$H$10</c:f>
              <c:numCache>
                <c:formatCode>General</c:formatCode>
                <c:ptCount val="4"/>
                <c:pt idx="0">
                  <c:v>998</c:v>
                </c:pt>
                <c:pt idx="1">
                  <c:v>162</c:v>
                </c:pt>
                <c:pt idx="2">
                  <c:v>67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8B-4784-B027-3FC9DE3DC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Tables!PivotTable5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Tip Percentage by 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6A-4A85-A8B1-0C6BCEC74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Tables'!$D$13:$D$20</c:f>
              <c:strCache>
                <c:ptCount val="7"/>
                <c:pt idx="0">
                  <c:v>Frisco</c:v>
                </c:pt>
                <c:pt idx="1">
                  <c:v>Lewisville</c:v>
                </c:pt>
                <c:pt idx="2">
                  <c:v>The Colony</c:v>
                </c:pt>
                <c:pt idx="3">
                  <c:v>Carrolton</c:v>
                </c:pt>
                <c:pt idx="4">
                  <c:v>McKinney</c:v>
                </c:pt>
                <c:pt idx="5">
                  <c:v>Plano</c:v>
                </c:pt>
                <c:pt idx="6">
                  <c:v>Allen</c:v>
                </c:pt>
              </c:strCache>
            </c:strRef>
          </c:cat>
          <c:val>
            <c:numRef>
              <c:f>'Pivot Tables'!$E$13:$E$20</c:f>
              <c:numCache>
                <c:formatCode>0.00%</c:formatCode>
                <c:ptCount val="7"/>
                <c:pt idx="0">
                  <c:v>0.19936667743939651</c:v>
                </c:pt>
                <c:pt idx="1">
                  <c:v>0.18441182003308676</c:v>
                </c:pt>
                <c:pt idx="2">
                  <c:v>0.18407904870611144</c:v>
                </c:pt>
                <c:pt idx="3">
                  <c:v>0.177175189780481</c:v>
                </c:pt>
                <c:pt idx="4">
                  <c:v>0.17694510237575228</c:v>
                </c:pt>
                <c:pt idx="5">
                  <c:v>0.17536881523144685</c:v>
                </c:pt>
                <c:pt idx="6">
                  <c:v>0.15553757255814735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A-4A85-A8B1-0C6BCEC7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4644720"/>
        <c:axId val="664648320"/>
      </c:barChart>
      <c:catAx>
        <c:axId val="66464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648320"/>
        <c:crosses val="autoZero"/>
        <c:auto val="1"/>
        <c:lblAlgn val="ctr"/>
        <c:lblOffset val="100"/>
        <c:noMultiLvlLbl val="0"/>
      </c:catAx>
      <c:valAx>
        <c:axId val="664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64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Tables!PivotTable6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0323376464517284"/>
              <c:y val="0.15813117699910154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7840241732215454"/>
              <c:y val="6.469002695417790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7260949873973583"/>
              <c:y val="-2.8751123090745734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982547456651428"/>
              <c:y val="-7.1877807726864499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6169827228282527"/>
              <c:y val="0.11859838274932617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'Pivot Tables'!$H$12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B4-4079-9E6E-7F6BC2B46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B4-4079-9E6E-7F6BC2B46A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B4-4079-9E6E-7F6BC2B46A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B4-4079-9E6E-7F6BC2B46A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B4-4079-9E6E-7F6BC2B46A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B4-4079-9E6E-7F6BC2B46A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B4-4079-9E6E-7F6BC2B46A15}"/>
              </c:ext>
            </c:extLst>
          </c:dPt>
          <c:dLbls>
            <c:dLbl>
              <c:idx val="2"/>
              <c:layout>
                <c:manualLayout>
                  <c:x val="-0.20323376464517284"/>
                  <c:y val="0.158131176999101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4-4079-9E6E-7F6BC2B46A15}"/>
                </c:ext>
              </c:extLst>
            </c:dLbl>
            <c:dLbl>
              <c:idx val="3"/>
              <c:layout>
                <c:manualLayout>
                  <c:x val="-0.27840241732215454"/>
                  <c:y val="6.4690026954177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4-4079-9E6E-7F6BC2B46A15}"/>
                </c:ext>
              </c:extLst>
            </c:dLbl>
            <c:dLbl>
              <c:idx val="4"/>
              <c:layout>
                <c:manualLayout>
                  <c:x val="-0.17260949873973583"/>
                  <c:y val="-2.87511230907457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4-4079-9E6E-7F6BC2B46A15}"/>
                </c:ext>
              </c:extLst>
            </c:dLbl>
            <c:dLbl>
              <c:idx val="5"/>
              <c:layout>
                <c:manualLayout>
                  <c:x val="0.16982547456651428"/>
                  <c:y val="-7.18778077268644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4-4079-9E6E-7F6BC2B46A15}"/>
                </c:ext>
              </c:extLst>
            </c:dLbl>
            <c:dLbl>
              <c:idx val="6"/>
              <c:layout>
                <c:manualLayout>
                  <c:x val="0.26169827228282527"/>
                  <c:y val="0.118598382749326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B4-4079-9E6E-7F6BC2B46A1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'Pivot Tables'!$G$13:$G$20</c:f>
              <c:strCache>
                <c:ptCount val="7"/>
                <c:pt idx="0">
                  <c:v>Frisco</c:v>
                </c:pt>
                <c:pt idx="1">
                  <c:v>Plano</c:v>
                </c:pt>
                <c:pt idx="2">
                  <c:v>The Colony</c:v>
                </c:pt>
                <c:pt idx="3">
                  <c:v>Carrolton</c:v>
                </c:pt>
                <c:pt idx="4">
                  <c:v>Lewisville</c:v>
                </c:pt>
                <c:pt idx="5">
                  <c:v>McKinney</c:v>
                </c:pt>
                <c:pt idx="6">
                  <c:v>Allen</c:v>
                </c:pt>
              </c:strCache>
            </c:strRef>
          </c:cat>
          <c:val>
            <c:numRef>
              <c:f>'Pivot Tables'!$H$13:$H$20</c:f>
              <c:numCache>
                <c:formatCode>General</c:formatCode>
                <c:ptCount val="7"/>
                <c:pt idx="0">
                  <c:v>794</c:v>
                </c:pt>
                <c:pt idx="1">
                  <c:v>348</c:v>
                </c:pt>
                <c:pt idx="2">
                  <c:v>69</c:v>
                </c:pt>
                <c:pt idx="3">
                  <c:v>16</c:v>
                </c:pt>
                <c:pt idx="4">
                  <c:v>12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B4-4079-9E6E-7F6BC2B4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Tables!PivotTable4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Tip by</a:t>
            </a:r>
            <a:r>
              <a:rPr lang="en-US" baseline="0"/>
              <a:t> City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E-492F-9A01-78B737E414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Tables'!$A$13:$A$20</c:f>
              <c:strCache>
                <c:ptCount val="7"/>
                <c:pt idx="0">
                  <c:v>Lewisville</c:v>
                </c:pt>
                <c:pt idx="1">
                  <c:v>McKinney</c:v>
                </c:pt>
                <c:pt idx="2">
                  <c:v>Carrolton</c:v>
                </c:pt>
                <c:pt idx="3">
                  <c:v>Frisco</c:v>
                </c:pt>
                <c:pt idx="4">
                  <c:v>The Colony</c:v>
                </c:pt>
                <c:pt idx="5">
                  <c:v>Plano</c:v>
                </c:pt>
                <c:pt idx="6">
                  <c:v>Allen</c:v>
                </c:pt>
              </c:strCache>
            </c:strRef>
          </c:cat>
          <c:val>
            <c:numRef>
              <c:f>'Pivot Tables'!$B$13:$B$20</c:f>
              <c:numCache>
                <c:formatCode>"$"#,##0.00</c:formatCode>
                <c:ptCount val="7"/>
                <c:pt idx="0">
                  <c:v>11.666666666666666</c:v>
                </c:pt>
                <c:pt idx="1">
                  <c:v>8.9120000000000008</c:v>
                </c:pt>
                <c:pt idx="2">
                  <c:v>7.3643749999999999</c:v>
                </c:pt>
                <c:pt idx="3">
                  <c:v>7.2766750629722985</c:v>
                </c:pt>
                <c:pt idx="4">
                  <c:v>7.0920289855072456</c:v>
                </c:pt>
                <c:pt idx="5">
                  <c:v>6.6279022988505742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E-492F-9A01-78B737E4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773376"/>
        <c:axId val="591760056"/>
      </c:barChart>
      <c:catAx>
        <c:axId val="5917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760056"/>
        <c:crosses val="autoZero"/>
        <c:auto val="1"/>
        <c:lblAlgn val="ctr"/>
        <c:lblOffset val="100"/>
        <c:noMultiLvlLbl val="0"/>
      </c:catAx>
      <c:valAx>
        <c:axId val="59176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7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Tables!PivotTable8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Tip Percentage by Community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Tables'!$E$22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4F-42E7-BB7A-F48D9408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Tables'!$D$23:$D$29</c:f>
              <c:strCache>
                <c:ptCount val="6"/>
                <c:pt idx="0">
                  <c:v>Villages of Stonebriar Park</c:v>
                </c:pt>
                <c:pt idx="1">
                  <c:v>Hills of Kingswood</c:v>
                </c:pt>
                <c:pt idx="2">
                  <c:v>Starwood Estates</c:v>
                </c:pt>
                <c:pt idx="3">
                  <c:v>Stonebriar North</c:v>
                </c:pt>
                <c:pt idx="4">
                  <c:v>Normandy Estates</c:v>
                </c:pt>
                <c:pt idx="5">
                  <c:v>Heritage Lakes Community</c:v>
                </c:pt>
              </c:strCache>
            </c:strRef>
          </c:cat>
          <c:val>
            <c:numRef>
              <c:f>'Pivot Tables'!$E$23:$E$29</c:f>
              <c:numCache>
                <c:formatCode>0.00%</c:formatCode>
                <c:ptCount val="6"/>
                <c:pt idx="0">
                  <c:v>0.25063551996066713</c:v>
                </c:pt>
                <c:pt idx="1">
                  <c:v>0.21117860560033613</c:v>
                </c:pt>
                <c:pt idx="2">
                  <c:v>0.19353608252744939</c:v>
                </c:pt>
                <c:pt idx="3">
                  <c:v>0.18887144256153232</c:v>
                </c:pt>
                <c:pt idx="4">
                  <c:v>0.14394780348815622</c:v>
                </c:pt>
                <c:pt idx="5">
                  <c:v>0.14209107417855688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F-42E7-BB7A-F48D9408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480320"/>
        <c:axId val="688484640"/>
      </c:barChart>
      <c:catAx>
        <c:axId val="688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84640"/>
        <c:crosses val="autoZero"/>
        <c:auto val="1"/>
        <c:lblAlgn val="ctr"/>
        <c:lblOffset val="100"/>
        <c:noMultiLvlLbl val="0"/>
      </c:catAx>
      <c:valAx>
        <c:axId val="6884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Tables!PivotTable7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Tip</a:t>
            </a:r>
            <a:r>
              <a:rPr lang="en-US" baseline="0"/>
              <a:t> by Gated Community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62-4A87-8B23-A512639177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Tables'!$A$23:$A$29</c:f>
              <c:strCache>
                <c:ptCount val="6"/>
                <c:pt idx="0">
                  <c:v>Starwood Estates</c:v>
                </c:pt>
                <c:pt idx="1">
                  <c:v>Hills of Kingswood</c:v>
                </c:pt>
                <c:pt idx="2">
                  <c:v>Stonebriar North</c:v>
                </c:pt>
                <c:pt idx="3">
                  <c:v>Villages of Stonebriar Park</c:v>
                </c:pt>
                <c:pt idx="4">
                  <c:v>Normandy Estates</c:v>
                </c:pt>
                <c:pt idx="5">
                  <c:v>Heritage Lakes Community</c:v>
                </c:pt>
              </c:strCache>
            </c:strRef>
          </c:cat>
          <c:val>
            <c:numRef>
              <c:f>'Pivot Tables'!$B$23:$B$29</c:f>
              <c:numCache>
                <c:formatCode>"$"#,##0.00</c:formatCode>
                <c:ptCount val="6"/>
                <c:pt idx="0">
                  <c:v>9.3666666666666671</c:v>
                </c:pt>
                <c:pt idx="1">
                  <c:v>9.0449999999999999</c:v>
                </c:pt>
                <c:pt idx="2">
                  <c:v>7.0744444444444454</c:v>
                </c:pt>
                <c:pt idx="3">
                  <c:v>6.221111111111111</c:v>
                </c:pt>
                <c:pt idx="4">
                  <c:v>5.13</c:v>
                </c:pt>
                <c:pt idx="5">
                  <c:v>4.5838888888888887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2-4A87-8B23-A5126391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478880"/>
        <c:axId val="664645800"/>
      </c:barChart>
      <c:catAx>
        <c:axId val="6884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645800"/>
        <c:crosses val="autoZero"/>
        <c:auto val="1"/>
        <c:lblAlgn val="ctr"/>
        <c:lblOffset val="100"/>
        <c:noMultiLvlLbl val="0"/>
      </c:catAx>
      <c:valAx>
        <c:axId val="66464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[Project_1.xlsx]Pivot Tables!PivotTable9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Gated</a:t>
            </a:r>
            <a:r>
              <a:rPr lang="en-US" baseline="0"/>
              <a:t> Community Ratio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3363316031463418"/>
              <c:y val="8.98472596585804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3107400637738829"/>
              <c:y val="-3.5938903863432332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3408290078658548"/>
              <c:y val="6.1096136567834684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'Pivot Tables'!$H$22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6-4430-8195-DEA5396D77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6-4430-8195-DEA5396D77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6-4430-8195-DEA5396D77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6-4430-8195-DEA5396D77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6-4430-8195-DEA5396D77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6-4430-8195-DEA5396D7784}"/>
              </c:ext>
            </c:extLst>
          </c:dPt>
          <c:dLbls>
            <c:dLbl>
              <c:idx val="3"/>
              <c:layout>
                <c:manualLayout>
                  <c:x val="-0.13363316031463418"/>
                  <c:y val="8.9847259658580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6-4430-8195-DEA5396D7784}"/>
                </c:ext>
              </c:extLst>
            </c:dLbl>
            <c:dLbl>
              <c:idx val="4"/>
              <c:layout>
                <c:manualLayout>
                  <c:x val="-0.23107400637738829"/>
                  <c:y val="-3.59389038634323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6-4430-8195-DEA5396D7784}"/>
                </c:ext>
              </c:extLst>
            </c:dLbl>
            <c:dLbl>
              <c:idx val="5"/>
              <c:layout>
                <c:manualLayout>
                  <c:x val="0.33408290078658548"/>
                  <c:y val="6.10961365678346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6-4430-8195-DEA5396D778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'Pivot Tables'!$G$23:$G$29</c:f>
              <c:strCache>
                <c:ptCount val="6"/>
                <c:pt idx="0">
                  <c:v>Starwood Estates</c:v>
                </c:pt>
                <c:pt idx="1">
                  <c:v>Stonebriar North</c:v>
                </c:pt>
                <c:pt idx="2">
                  <c:v>Villages of Stonebriar Park</c:v>
                </c:pt>
                <c:pt idx="3">
                  <c:v>Heritage Lakes Community</c:v>
                </c:pt>
                <c:pt idx="4">
                  <c:v>Hills of Kingswood</c:v>
                </c:pt>
                <c:pt idx="5">
                  <c:v>Normandy Estates</c:v>
                </c:pt>
              </c:strCache>
            </c:strRef>
          </c:cat>
          <c:val>
            <c:numRef>
              <c:f>'Pivot Tables'!$H$23:$H$29</c:f>
              <c:numCache>
                <c:formatCode>General</c:formatCode>
                <c:ptCount val="6"/>
                <c:pt idx="0">
                  <c:v>57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6-4430-8195-DEA5396D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304800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D34AD-39C9-4E24-9C48-069D970B1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7</xdr:col>
      <xdr:colOff>304800</xdr:colOff>
      <xdr:row>33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A0572E-4BE8-4E92-A018-FCCCCE476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304800</xdr:colOff>
      <xdr:row>52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B69737-8A88-4E61-ACEB-896FFF696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15</xdr:col>
      <xdr:colOff>304800</xdr:colOff>
      <xdr:row>33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4270FC-60FF-42B1-B1C9-EDE539A19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15</xdr:col>
      <xdr:colOff>304800</xdr:colOff>
      <xdr:row>52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8BDBBE-3225-4372-841A-2568784D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15</xdr:col>
      <xdr:colOff>304800</xdr:colOff>
      <xdr:row>18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2B74A5-583C-49C1-AAA8-2F919F19E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23</xdr:col>
      <xdr:colOff>304800</xdr:colOff>
      <xdr:row>33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B0DC48-2AED-42E3-90FD-644761859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4</xdr:row>
      <xdr:rowOff>0</xdr:rowOff>
    </xdr:from>
    <xdr:to>
      <xdr:col>23</xdr:col>
      <xdr:colOff>304800</xdr:colOff>
      <xdr:row>18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E46E50B-4353-498B-B801-B580AAC95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23</xdr:col>
      <xdr:colOff>304800</xdr:colOff>
      <xdr:row>52</xdr:row>
      <xdr:rowOff>104775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C07B778-B931-4F27-8730-38EFA1B70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22</xdr:col>
      <xdr:colOff>257735</xdr:colOff>
      <xdr:row>62</xdr:row>
      <xdr:rowOff>155999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EA9E0-686B-0CB9-DAE8-8F19100BD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973" t="3007" r="11030"/>
        <a:stretch/>
      </xdr:blipFill>
      <xdr:spPr>
        <a:xfrm>
          <a:off x="0" y="762000"/>
          <a:ext cx="13570323" cy="112049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Short" refreshedDate="45118.962032523152" createdVersion="8" refreshedVersion="8" minRefreshableVersion="3" recordCount="1251" xr:uid="{DDBE708F-B7D9-43BB-8160-2E4F370EA74D}">
  <cacheSource type="worksheet">
    <worksheetSource name="Table3"/>
  </cacheSource>
  <cacheFields count="21">
    <cacheField name="Order #" numFmtId="1">
      <sharedItems containsSemiMixedTypes="0" containsString="0" containsNumber="1" containsInteger="1" minValue="1" maxValue="1251"/>
    </cacheField>
    <cacheField name="Date" numFmtId="14">
      <sharedItems containsSemiMixedTypes="0" containsNonDate="0" containsDate="1" containsString="0" minDate="2017-07-05T00:00:00" maxDate="2018-09-24T00:00:00" count="186">
        <d v="2017-07-05T00:00:00"/>
        <d v="2017-07-07T00:00:00"/>
        <d v="2017-07-08T00:00:00"/>
        <d v="2017-07-09T00:00:00"/>
        <d v="2017-07-10T00:00:00"/>
        <d v="2017-07-11T00:00:00"/>
        <d v="2017-07-12T00:00:00"/>
        <d v="2017-07-15T00:00:00"/>
        <d v="2017-07-16T00:00:00"/>
        <d v="2017-07-17T00:00:00"/>
        <d v="2017-07-18T00:00:00"/>
        <d v="2017-07-19T00:00:00"/>
        <d v="2017-07-21T00:00:00"/>
        <d v="2017-07-30T00:00:00"/>
        <d v="2017-07-31T00:00:00"/>
        <d v="2017-08-02T00:00:00"/>
        <d v="2017-08-04T00:00:00"/>
        <d v="2017-08-05T00:00:00"/>
        <d v="2017-08-06T00:00:00"/>
        <d v="2017-08-07T00:00:00"/>
        <d v="2017-08-09T00:00:00"/>
        <d v="2017-08-11T00:00:00"/>
        <d v="2017-08-12T00:00:00"/>
        <d v="2017-08-13T00:00:00"/>
        <d v="2017-08-18T00:00:00"/>
        <d v="2017-08-19T00:00:00"/>
        <d v="2017-08-20T00:00:00"/>
        <d v="2017-08-25T00:00:00"/>
        <d v="2017-08-26T00:00:00"/>
        <d v="2017-08-27T00:00:00"/>
        <d v="2017-09-01T00:00:00"/>
        <d v="2017-09-02T00:00:00"/>
        <d v="2017-09-03T00:00:00"/>
        <d v="2017-09-04T00:00:00"/>
        <d v="2017-09-10T00:00:00"/>
        <d v="2017-09-15T00:00:00"/>
        <d v="2017-09-16T00:00:00"/>
        <d v="2017-09-17T00:00:00"/>
        <d v="2017-09-22T00:00:00"/>
        <d v="2017-09-23T00:00:00"/>
        <d v="2017-09-24T00:00:00"/>
        <d v="2017-09-29T00:00:00"/>
        <d v="2017-09-30T00:00:00"/>
        <d v="2017-10-01T00:00:00"/>
        <d v="2017-10-08T00:00:00"/>
        <d v="2017-10-13T00:00:00"/>
        <d v="2017-10-14T00:00:00"/>
        <d v="2017-10-15T00:00:00"/>
        <d v="2017-10-20T00:00:00"/>
        <d v="2017-10-21T00:00:00"/>
        <d v="2017-10-22T00:00:00"/>
        <d v="2017-10-27T00:00:00"/>
        <d v="2017-11-03T00:00:00"/>
        <d v="2017-11-04T00:00:00"/>
        <d v="2017-11-05T00:00:00"/>
        <d v="2017-11-10T00:00:00"/>
        <d v="2017-11-11T00:00:00"/>
        <d v="2017-11-12T00:00:00"/>
        <d v="2017-11-19T00:00:00"/>
        <d v="2017-11-20T00:00:00"/>
        <d v="2017-11-22T00:00:00"/>
        <d v="2017-11-24T00:00:00"/>
        <d v="2017-11-25T00:00:00"/>
        <d v="2017-11-26T00:00:00"/>
        <d v="2017-12-01T00:00:00"/>
        <d v="2017-12-02T00:00:00"/>
        <d v="2017-12-03T00:00:00"/>
        <d v="2017-12-08T00:00:00"/>
        <d v="2017-12-09T00:00:00"/>
        <d v="2017-12-10T00:00:00"/>
        <d v="2017-12-15T00:00:00"/>
        <d v="2017-12-16T00:00:00"/>
        <d v="2017-12-17T00:00:00"/>
        <d v="2017-12-22T00:00:00"/>
        <d v="2017-12-26T00:00:00"/>
        <d v="2017-12-29T00:00:00"/>
        <d v="2017-12-30T00:00:00"/>
        <d v="2018-01-05T00:00:00"/>
        <d v="2018-01-06T00:00:00"/>
        <d v="2018-01-07T00:00:00"/>
        <d v="2018-01-12T00:00:00"/>
        <d v="2018-01-13T00:00:00"/>
        <d v="2018-01-14T00:00:00"/>
        <d v="2018-01-19T00:00:00"/>
        <d v="2018-01-20T00:00:00"/>
        <d v="2018-01-21T00:00:00"/>
        <d v="2018-01-26T00:00:00"/>
        <d v="2018-01-27T00:00:00"/>
        <d v="2018-01-28T00:00:00"/>
        <d v="2018-01-29T00:00:00"/>
        <d v="2018-02-02T00:00:00"/>
        <d v="2018-02-03T00:00:00"/>
        <d v="2018-02-04T00:00:00"/>
        <d v="2018-02-09T00:00:00"/>
        <d v="2018-02-10T00:00:00"/>
        <d v="2018-02-11T00:00:00"/>
        <d v="2018-02-16T00:00:00"/>
        <d v="2018-02-18T00:00:00"/>
        <d v="2018-02-23T00:00:00"/>
        <d v="2018-02-24T00:00:00"/>
        <d v="2018-03-03T00:00:00"/>
        <d v="2018-03-09T00:00:00"/>
        <d v="2018-03-10T00:00:00"/>
        <d v="2018-03-11T00:00:00"/>
        <d v="2018-03-14T00:00:00"/>
        <d v="2018-03-16T00:00:00"/>
        <d v="2018-03-17T00:00:00"/>
        <d v="2018-03-18T00:00:00"/>
        <d v="2018-03-23T00:00:00"/>
        <d v="2018-03-24T00:00:00"/>
        <d v="2018-03-25T00:00:00"/>
        <d v="2018-03-30T00:00:00"/>
        <d v="2018-03-31T00:00:00"/>
        <d v="2018-04-01T00:00:00"/>
        <d v="2018-04-07T00:00:00"/>
        <d v="2018-04-08T00:00:00"/>
        <d v="2018-04-13T00:00:00"/>
        <d v="2018-04-14T00:00:00"/>
        <d v="2018-04-15T00:00:00"/>
        <d v="2018-04-20T00:00:00"/>
        <d v="2018-04-21T00:00:00"/>
        <d v="2018-04-22T00:00:00"/>
        <d v="2018-04-28T00:00:00"/>
        <d v="2018-04-29T00:00:00"/>
        <d v="2018-05-04T00:00:00"/>
        <d v="2018-05-06T00:00:00"/>
        <d v="2018-05-11T00:00:00"/>
        <d v="2018-05-12T00:00:00"/>
        <d v="2018-05-18T00:00:00"/>
        <d v="2018-05-19T00:00:00"/>
        <d v="2018-05-20T00:00:00"/>
        <d v="2018-05-25T00:00:00"/>
        <d v="2018-05-26T00:00:00"/>
        <d v="2018-05-27T00:00:00"/>
        <d v="2018-05-28T00:00:00"/>
        <d v="2018-05-30T00:00:00"/>
        <d v="2018-05-31T00:00:00"/>
        <d v="2018-06-01T00:00:00"/>
        <d v="2018-06-02T00:00:00"/>
        <d v="2018-06-03T00:00:00"/>
        <d v="2018-06-04T00:00:00"/>
        <d v="2018-06-08T00:00:00"/>
        <d v="2018-06-10T00:00:00"/>
        <d v="2018-06-15T00:00:00"/>
        <d v="2018-06-16T00:00:00"/>
        <d v="2018-06-17T00:00:00"/>
        <d v="2018-06-22T00:00:00"/>
        <d v="2018-06-24T00:00:00"/>
        <d v="2018-06-25T00:00:00"/>
        <d v="2018-06-29T00:00:00"/>
        <d v="2018-06-30T00:00:00"/>
        <d v="2018-07-01T00:00:00"/>
        <d v="2018-07-06T00:00:00"/>
        <d v="2018-07-07T00:00:00"/>
        <d v="2018-07-08T00:00:00"/>
        <d v="2018-07-14T00:00:00"/>
        <d v="2018-07-15T00:00:00"/>
        <d v="2018-07-20T00:00:00"/>
        <d v="2018-07-21T00:00:00"/>
        <d v="2018-07-22T00:00:00"/>
        <d v="2018-07-23T00:00:00"/>
        <d v="2018-07-27T00:00:00"/>
        <d v="2018-07-28T00:00:00"/>
        <d v="2018-07-29T00:00:00"/>
        <d v="2018-08-03T00:00:00"/>
        <d v="2018-08-04T00:00:00"/>
        <d v="2018-08-05T00:00:00"/>
        <d v="2018-08-10T00:00:00"/>
        <d v="2018-08-11T00:00:00"/>
        <d v="2018-08-12T00:00:00"/>
        <d v="2018-08-17T00:00:00"/>
        <d v="2018-08-18T00:00:00"/>
        <d v="2018-08-19T00:00:00"/>
        <d v="2018-08-25T00:00:00"/>
        <d v="2018-08-31T00:00:00"/>
        <d v="2018-09-01T00:00:00"/>
        <d v="2018-09-03T00:00:00"/>
        <d v="2018-09-06T00:00:00"/>
        <d v="2018-09-07T00:00:00"/>
        <d v="2018-09-08T00:00:00"/>
        <d v="2018-09-10T00:00:00"/>
        <d v="2018-09-15T00:00:00"/>
        <d v="2018-09-16T00:00:00"/>
        <d v="2018-09-21T00:00:00"/>
        <d v="2018-09-22T00:00:00"/>
        <d v="2018-09-23T00:00:00"/>
      </sharedItems>
      <fieldGroup par="20"/>
    </cacheField>
    <cacheField name="Weekday" numFmtId="14">
      <sharedItems/>
    </cacheField>
    <cacheField name="Match" numFmtId="0">
      <sharedItems/>
    </cacheField>
    <cacheField name="Cost" numFmtId="164">
      <sharedItems containsSemiMixedTypes="0" containsString="0" containsNumber="1" minValue="5.41" maxValue="243.02"/>
    </cacheField>
    <cacheField name="Tip" numFmtId="164">
      <sharedItems containsSemiMixedTypes="0" containsString="0" containsNumber="1" minValue="0" maxValue="40"/>
    </cacheField>
    <cacheField name="Tip Percentage" numFmtId="10">
      <sharedItems containsSemiMixedTypes="0" containsString="0" containsNumber="1" minValue="0" maxValue="3.621072088724584"/>
    </cacheField>
    <cacheField name="Delivery Fee" numFmtId="164">
      <sharedItems containsSemiMixedTypes="0" containsString="0" containsNumber="1" minValue="0" maxValue="7"/>
    </cacheField>
    <cacheField name="Order Time" numFmtId="166">
      <sharedItems containsSemiMixedTypes="0" containsNonDate="0" containsDate="1" containsString="0" minDate="1899-12-30T11:49:00" maxDate="1899-12-30T21:52:00"/>
    </cacheField>
    <cacheField name="Delivery Time" numFmtId="166">
      <sharedItems containsSemiMixedTypes="0" containsNonDate="0" containsDate="1" containsString="0" minDate="1899-12-30T12:18:00" maxDate="1899-12-30T22:38:00"/>
    </cacheField>
    <cacheField name="Total Delivery Time" numFmtId="165">
      <sharedItems containsSemiMixedTypes="0" containsNonDate="0" containsDate="1" containsString="0" minDate="1899-12-30T00:00:00" maxDate="1899-12-30T02:15:00"/>
    </cacheField>
    <cacheField name="Total Delivery Time (Minutes)" numFmtId="1">
      <sharedItems containsSemiMixedTypes="0" containsString="0" containsNumber="1" minValue="0" maxValue="135"/>
    </cacheField>
    <cacheField name="Address" numFmtId="0">
      <sharedItems/>
    </cacheField>
    <cacheField name="Room #" numFmtId="0">
      <sharedItems containsString="0" containsBlank="1" containsNumber="1" containsInteger="1" minValue="8" maxValue="28203"/>
    </cacheField>
    <cacheField name="City" numFmtId="0">
      <sharedItems count="7">
        <s v="Frisco"/>
        <s v="Lewisville"/>
        <s v="Plano"/>
        <s v="The Colony"/>
        <s v="Carrolton"/>
        <s v="McKinney"/>
        <s v="Allen"/>
      </sharedItems>
    </cacheField>
    <cacheField name="Gated Community" numFmtId="0">
      <sharedItems containsBlank="1" count="7">
        <m/>
        <s v="Stonebriar North"/>
        <s v="Starwood Estates"/>
        <s v="Villages of Stonebriar Park"/>
        <s v="Heritage Lakes Community"/>
        <s v="Hills of Kingswood"/>
        <s v="Normandy Estates"/>
      </sharedItems>
    </cacheField>
    <cacheField name="Housing" numFmtId="0">
      <sharedItems count="4">
        <s v="Residential"/>
        <s v="Apartment"/>
        <s v="Hotel"/>
        <s v="Business"/>
      </sharedItems>
    </cacheField>
    <cacheField name="Preorder" numFmtId="0">
      <sharedItems/>
    </cacheField>
    <cacheField name="Months (Date)" numFmtId="0" databaseField="0">
      <fieldGroup base="1">
        <rangePr groupBy="months" startDate="2017-07-05T00:00:00" endDate="2018-09-24T00:00:00"/>
        <groupItems count="14">
          <s v="&lt;7/5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24/2018"/>
        </groupItems>
      </fieldGroup>
    </cacheField>
    <cacheField name="Quarters (Date)" numFmtId="0" databaseField="0">
      <fieldGroup base="1">
        <rangePr groupBy="quarters" startDate="2017-07-05T00:00:00" endDate="2018-09-24T00:00:00"/>
        <groupItems count="6">
          <s v="&lt;7/5/2017"/>
          <s v="Qtr1"/>
          <s v="Qtr2"/>
          <s v="Qtr3"/>
          <s v="Qtr4"/>
          <s v="&gt;9/24/2018"/>
        </groupItems>
      </fieldGroup>
    </cacheField>
    <cacheField name="Years (Date)" numFmtId="0" databaseField="0">
      <fieldGroup base="1">
        <rangePr groupBy="years" startDate="2017-07-05T00:00:00" endDate="2018-09-24T00:00:00"/>
        <groupItems count="4">
          <s v="&lt;7/5/2017"/>
          <s v="2017"/>
          <s v="2018"/>
          <s v="&gt;9/24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1">
  <r>
    <n v="1"/>
    <x v="0"/>
    <s v="Wednesday"/>
    <s v="Different"/>
    <n v="42.83"/>
    <n v="10"/>
    <n v="0.23348120476301659"/>
    <n v="1.5"/>
    <d v="1899-12-30T18:08:00"/>
    <d v="1899-12-30T18:32:00"/>
    <d v="1899-12-30T00:24:00"/>
    <n v="24"/>
    <s v="10800 Dry Creek Lane"/>
    <m/>
    <x v="0"/>
    <x v="0"/>
    <x v="0"/>
    <s v="No"/>
  </r>
  <r>
    <n v="2"/>
    <x v="0"/>
    <s v="Wednesday"/>
    <s v="Same"/>
    <n v="22.14"/>
    <n v="10"/>
    <n v="0.45167118337850043"/>
    <n v="7"/>
    <d v="1899-12-30T19:24:00"/>
    <d v="1899-12-30T19:56:00"/>
    <d v="1899-12-30T00:32:00"/>
    <n v="32"/>
    <s v="2517 Erec Drive"/>
    <m/>
    <x v="1"/>
    <x v="0"/>
    <x v="0"/>
    <s v="No"/>
  </r>
  <r>
    <n v="3"/>
    <x v="0"/>
    <s v="Wednesday"/>
    <s v="Same"/>
    <n v="39.67"/>
    <n v="8"/>
    <n v="0.20166372573733299"/>
    <n v="1.5"/>
    <d v="1899-12-30T20:01:00"/>
    <d v="1899-12-30T20:49:00"/>
    <d v="1899-12-30T00:48:00"/>
    <n v="48"/>
    <s v="7014 Fieldstone Drive"/>
    <m/>
    <x v="0"/>
    <x v="0"/>
    <x v="0"/>
    <s v="No"/>
  </r>
  <r>
    <n v="4"/>
    <x v="0"/>
    <s v="Wednesday"/>
    <s v="Same"/>
    <n v="61.86"/>
    <n v="10"/>
    <n v="0.16165535079211121"/>
    <n v="7"/>
    <d v="1899-12-30T20:10:00"/>
    <d v="1899-12-30T21:05:00"/>
    <d v="1899-12-30T00:55:00"/>
    <n v="54.999999999999993"/>
    <s v="2329 Langdon Drive"/>
    <m/>
    <x v="0"/>
    <x v="0"/>
    <x v="0"/>
    <s v="No"/>
  </r>
  <r>
    <n v="5"/>
    <x v="0"/>
    <s v="Wednesday"/>
    <s v="Same"/>
    <n v="41.35"/>
    <n v="6"/>
    <n v="0.14510278113663844"/>
    <n v="1.5"/>
    <d v="1899-12-30T20:14:00"/>
    <d v="1899-12-30T21:18:00"/>
    <d v="1899-12-30T01:04:00"/>
    <n v="64"/>
    <s v="2080 Mason Drive"/>
    <m/>
    <x v="0"/>
    <x v="0"/>
    <x v="0"/>
    <s v="No"/>
  </r>
  <r>
    <n v="6"/>
    <x v="1"/>
    <s v="Friday"/>
    <s v="Different"/>
    <n v="30.9"/>
    <n v="7"/>
    <n v="0.22653721682847897"/>
    <n v="5"/>
    <d v="1899-12-30T18:00:00"/>
    <d v="1899-12-30T18:00:00"/>
    <d v="1899-12-30T00:00:00"/>
    <n v="0"/>
    <s v="4213 Emerson Drive"/>
    <m/>
    <x v="2"/>
    <x v="0"/>
    <x v="0"/>
    <s v="Yes"/>
  </r>
  <r>
    <n v="7"/>
    <x v="1"/>
    <s v="Friday"/>
    <s v="Same"/>
    <n v="33.020000000000003"/>
    <n v="6.98"/>
    <n v="0.2113870381586917"/>
    <n v="1.5"/>
    <d v="1899-12-30T17:58:00"/>
    <d v="1899-12-30T18:36:00"/>
    <d v="1899-12-30T00:38:00"/>
    <n v="38"/>
    <s v="5540 Rockwood Drive"/>
    <m/>
    <x v="3"/>
    <x v="0"/>
    <x v="0"/>
    <s v="No"/>
  </r>
  <r>
    <n v="8"/>
    <x v="1"/>
    <s v="Friday"/>
    <s v="Same"/>
    <n v="38.32"/>
    <n v="5"/>
    <n v="0.13048016701461379"/>
    <n v="1.5"/>
    <d v="1899-12-30T18:14:00"/>
    <d v="1899-12-30T18:50:00"/>
    <d v="1899-12-30T00:36:00"/>
    <n v="36"/>
    <s v="4628 Firestone Drive"/>
    <m/>
    <x v="0"/>
    <x v="1"/>
    <x v="0"/>
    <s v="No"/>
  </r>
  <r>
    <n v="9"/>
    <x v="1"/>
    <s v="Friday"/>
    <s v="Same"/>
    <n v="24.09"/>
    <n v="5.91"/>
    <n v="0.24533001245330013"/>
    <n v="1.5"/>
    <d v="1899-12-30T19:06:00"/>
    <d v="1899-12-30T19:38:00"/>
    <d v="1899-12-30T00:32:00"/>
    <n v="32"/>
    <s v="5 Bermuda Dunes Court"/>
    <m/>
    <x v="0"/>
    <x v="1"/>
    <x v="0"/>
    <s v="No"/>
  </r>
  <r>
    <n v="10"/>
    <x v="1"/>
    <s v="Friday"/>
    <s v="Same"/>
    <n v="33.770000000000003"/>
    <n v="11"/>
    <n v="0.32573289902280128"/>
    <n v="5"/>
    <d v="1899-12-30T19:01:00"/>
    <d v="1899-12-30T19:55:00"/>
    <d v="1899-12-30T00:54:00"/>
    <n v="53.999999999999993"/>
    <s v="7297 Rawlins Lane"/>
    <m/>
    <x v="0"/>
    <x v="0"/>
    <x v="0"/>
    <s v="No"/>
  </r>
  <r>
    <n v="11"/>
    <x v="1"/>
    <s v="Friday"/>
    <s v="Same"/>
    <n v="41.89"/>
    <n v="5"/>
    <n v="0.11936022917164001"/>
    <n v="5"/>
    <d v="1899-12-30T19:15:00"/>
    <d v="1899-12-30T20:04:00"/>
    <d v="1899-12-30T00:49:00"/>
    <n v="49"/>
    <s v="3673 Amherst Drive"/>
    <m/>
    <x v="0"/>
    <x v="0"/>
    <x v="0"/>
    <s v="No"/>
  </r>
  <r>
    <n v="12"/>
    <x v="2"/>
    <s v="Saturday"/>
    <s v="Different"/>
    <n v="19.489999999999998"/>
    <n v="3"/>
    <n v="0.15392508978963573"/>
    <n v="1.5"/>
    <d v="1899-12-30T16:44:00"/>
    <d v="1899-12-30T17:09:00"/>
    <d v="1899-12-30T00:25:00"/>
    <n v="25"/>
    <s v="7758 Milestone Ridge Drive"/>
    <m/>
    <x v="0"/>
    <x v="0"/>
    <x v="0"/>
    <s v="No"/>
  </r>
  <r>
    <n v="13"/>
    <x v="2"/>
    <s v="Saturday"/>
    <s v="Same"/>
    <n v="25.93"/>
    <n v="4.07"/>
    <n v="0.15696104897801774"/>
    <n v="1.5"/>
    <d v="1899-12-30T17:37:00"/>
    <d v="1899-12-30T17:52:00"/>
    <d v="1899-12-30T00:15:00"/>
    <n v="15"/>
    <s v="7931 Belinda Lane"/>
    <m/>
    <x v="2"/>
    <x v="0"/>
    <x v="0"/>
    <s v="No"/>
  </r>
  <r>
    <n v="14"/>
    <x v="2"/>
    <s v="Saturday"/>
    <s v="Same"/>
    <n v="34.590000000000003"/>
    <n v="4.41"/>
    <n v="0.12749349522983519"/>
    <n v="1.5"/>
    <d v="1899-12-30T18:19:00"/>
    <d v="1899-12-30T18:43:00"/>
    <d v="1899-12-30T00:24:00"/>
    <n v="24"/>
    <s v="105 Myers Avenue"/>
    <m/>
    <x v="0"/>
    <x v="0"/>
    <x v="0"/>
    <s v="No"/>
  </r>
  <r>
    <n v="15"/>
    <x v="2"/>
    <s v="Saturday"/>
    <s v="Same"/>
    <n v="29.77"/>
    <n v="5"/>
    <n v="0.16795431642593214"/>
    <n v="1.5"/>
    <d v="1899-12-30T18:49:00"/>
    <d v="1899-12-30T19:12:00"/>
    <d v="1899-12-30T00:23:00"/>
    <n v="23"/>
    <s v="3198 Parkwood Blvd"/>
    <n v="14071"/>
    <x v="0"/>
    <x v="0"/>
    <x v="1"/>
    <s v="No"/>
  </r>
  <r>
    <n v="16"/>
    <x v="2"/>
    <s v="Saturday"/>
    <s v="Same"/>
    <n v="27.33"/>
    <n v="5.67"/>
    <n v="0.20746432491767289"/>
    <n v="1.5"/>
    <d v="1899-12-30T19:44:00"/>
    <d v="1899-12-30T20:06:00"/>
    <d v="1899-12-30T00:22:00"/>
    <n v="22"/>
    <s v="10264 Summit Run Drive"/>
    <m/>
    <x v="0"/>
    <x v="0"/>
    <x v="0"/>
    <s v="No"/>
  </r>
  <r>
    <n v="17"/>
    <x v="3"/>
    <s v="Sunday"/>
    <s v="Different"/>
    <n v="25.66"/>
    <n v="5"/>
    <n v="0.19485580670303976"/>
    <n v="1.5"/>
    <d v="1899-12-30T17:12:00"/>
    <d v="1899-12-30T17:46:00"/>
    <d v="1899-12-30T00:34:00"/>
    <n v="34"/>
    <s v="12314 Melrose Lane"/>
    <m/>
    <x v="0"/>
    <x v="0"/>
    <x v="0"/>
    <s v="No"/>
  </r>
  <r>
    <n v="18"/>
    <x v="3"/>
    <s v="Sunday"/>
    <s v="Same"/>
    <n v="36.159999999999997"/>
    <n v="3.84"/>
    <n v="0.10619469026548674"/>
    <n v="1.5"/>
    <d v="1899-12-30T17:22:00"/>
    <d v="1899-12-30T18:02:00"/>
    <d v="1899-12-30T00:40:00"/>
    <n v="40"/>
    <s v="8305 Moore Street"/>
    <m/>
    <x v="0"/>
    <x v="0"/>
    <x v="0"/>
    <s v="No"/>
  </r>
  <r>
    <n v="19"/>
    <x v="3"/>
    <s v="Sunday"/>
    <s v="Same"/>
    <n v="17.54"/>
    <n v="5"/>
    <n v="0.28506271379703535"/>
    <n v="1.5"/>
    <d v="1899-12-30T17:23:00"/>
    <d v="1899-12-30T18:13:00"/>
    <d v="1899-12-30T00:50:00"/>
    <n v="50"/>
    <s v="3200 Rifle Gap Road"/>
    <n v="1126"/>
    <x v="0"/>
    <x v="0"/>
    <x v="1"/>
    <s v="No"/>
  </r>
  <r>
    <n v="20"/>
    <x v="3"/>
    <s v="Sunday"/>
    <s v="Same"/>
    <n v="35.4"/>
    <n v="5"/>
    <n v="0.14124293785310735"/>
    <n v="1.5"/>
    <d v="1899-12-30T18:34:00"/>
    <d v="1899-12-30T19:02:00"/>
    <d v="1899-12-30T00:28:00"/>
    <n v="28"/>
    <s v="9413 Presthope Drive"/>
    <m/>
    <x v="0"/>
    <x v="0"/>
    <x v="0"/>
    <s v="No"/>
  </r>
  <r>
    <n v="21"/>
    <x v="3"/>
    <s v="Sunday"/>
    <s v="Same"/>
    <n v="54.61"/>
    <n v="6"/>
    <n v="0.10986998718183483"/>
    <n v="1.5"/>
    <d v="1899-12-30T18:52:00"/>
    <d v="1899-12-30T19:34:00"/>
    <d v="1899-12-30T00:42:00"/>
    <n v="42"/>
    <s v="5052 Thackery Drive"/>
    <m/>
    <x v="0"/>
    <x v="0"/>
    <x v="0"/>
    <s v="No"/>
  </r>
  <r>
    <n v="22"/>
    <x v="3"/>
    <s v="Sunday"/>
    <s v="Same"/>
    <n v="33.24"/>
    <n v="4"/>
    <n v="0.12033694344163658"/>
    <n v="1.5"/>
    <d v="1899-12-30T18:53:00"/>
    <d v="1899-12-30T19:45:00"/>
    <d v="1899-12-30T00:52:00"/>
    <n v="52"/>
    <s v="4280 Wellesley Drive"/>
    <m/>
    <x v="0"/>
    <x v="0"/>
    <x v="0"/>
    <s v="No"/>
  </r>
  <r>
    <n v="23"/>
    <x v="3"/>
    <s v="Sunday"/>
    <s v="Same"/>
    <n v="56.45"/>
    <n v="13"/>
    <n v="0.23029229406554472"/>
    <n v="1.5"/>
    <d v="1899-12-30T19:03:00"/>
    <d v="1899-12-30T19:57:00"/>
    <d v="1899-12-30T00:54:00"/>
    <n v="53.999999999999993"/>
    <s v="5555 Gadwall Drive"/>
    <m/>
    <x v="0"/>
    <x v="0"/>
    <x v="0"/>
    <s v="No"/>
  </r>
  <r>
    <n v="24"/>
    <x v="3"/>
    <s v="Sunday"/>
    <s v="Same"/>
    <n v="47.41"/>
    <n v="3.59"/>
    <n v="7.5722421430078041E-2"/>
    <n v="7"/>
    <d v="1899-12-30T19:50:00"/>
    <d v="1899-12-30T20:31:00"/>
    <d v="1899-12-30T00:41:00"/>
    <n v="41"/>
    <s v="7925 Steppington Drive"/>
    <m/>
    <x v="2"/>
    <x v="0"/>
    <x v="0"/>
    <s v="No"/>
  </r>
  <r>
    <n v="25"/>
    <x v="3"/>
    <s v="Sunday"/>
    <s v="Same"/>
    <n v="55.1"/>
    <n v="10"/>
    <n v="0.18148820326678766"/>
    <n v="1.5"/>
    <d v="1899-12-30T20:16:00"/>
    <d v="1899-12-30T21:04:00"/>
    <d v="1899-12-30T00:48:00"/>
    <n v="48"/>
    <s v="3199 Parkwood Blvd"/>
    <n v="121"/>
    <x v="0"/>
    <x v="0"/>
    <x v="2"/>
    <s v="No"/>
  </r>
  <r>
    <n v="26"/>
    <x v="3"/>
    <s v="Sunday"/>
    <s v="Same"/>
    <n v="56.51"/>
    <n v="4"/>
    <n v="7.0783932047425238E-2"/>
    <n v="1.5"/>
    <d v="1899-12-30T20:23:00"/>
    <d v="1899-12-30T21:47:00"/>
    <d v="1899-12-30T01:24:00"/>
    <n v="84"/>
    <s v="4902 Longvue Drive"/>
    <m/>
    <x v="0"/>
    <x v="0"/>
    <x v="0"/>
    <s v="No"/>
  </r>
  <r>
    <n v="27"/>
    <x v="4"/>
    <s v="Monday"/>
    <s v="Different"/>
    <n v="41.3"/>
    <n v="6"/>
    <n v="0.14527845036319614"/>
    <n v="5"/>
    <d v="1899-12-30T17:55:00"/>
    <d v="1899-12-30T18:34:00"/>
    <d v="1899-12-30T00:39:00"/>
    <n v="39"/>
    <s v="1036 Heathrow Drive"/>
    <m/>
    <x v="0"/>
    <x v="0"/>
    <x v="0"/>
    <s v="No"/>
  </r>
  <r>
    <n v="28"/>
    <x v="4"/>
    <s v="Monday"/>
    <s v="Same"/>
    <n v="37.56"/>
    <n v="5.44"/>
    <n v="0.14483493077742279"/>
    <n v="1.5"/>
    <d v="1899-12-30T18:48:00"/>
    <d v="1899-12-30T19:09:00"/>
    <d v="1899-12-30T00:21:00"/>
    <n v="21"/>
    <s v="4999 Stillwater Trail"/>
    <m/>
    <x v="0"/>
    <x v="2"/>
    <x v="0"/>
    <s v="No"/>
  </r>
  <r>
    <n v="29"/>
    <x v="4"/>
    <s v="Monday"/>
    <s v="Same"/>
    <n v="59.65"/>
    <n v="10"/>
    <n v="0.16764459346186086"/>
    <n v="1.5"/>
    <d v="1899-12-30T19:50:00"/>
    <d v="1899-12-30T20:13:00"/>
    <d v="1899-12-30T00:23:00"/>
    <n v="23.000000000000004"/>
    <s v="5704 Glenview Court"/>
    <m/>
    <x v="3"/>
    <x v="0"/>
    <x v="0"/>
    <s v="No"/>
  </r>
  <r>
    <n v="30"/>
    <x v="5"/>
    <s v="Tuesday"/>
    <s v="Different"/>
    <n v="31.83"/>
    <n v="7"/>
    <n v="0.21991831605403708"/>
    <n v="1.5"/>
    <d v="1899-12-30T17:15:00"/>
    <d v="1899-12-30T17:50:00"/>
    <d v="1899-12-30T00:35:00"/>
    <n v="35"/>
    <s v="5616 Tucker Street"/>
    <m/>
    <x v="3"/>
    <x v="0"/>
    <x v="0"/>
    <s v="No"/>
  </r>
  <r>
    <n v="31"/>
    <x v="5"/>
    <s v="Tuesday"/>
    <s v="Same"/>
    <n v="59.38"/>
    <n v="15"/>
    <n v="0.2526103065005052"/>
    <n v="1.5"/>
    <d v="1899-12-30T18:32:00"/>
    <d v="1899-12-30T19:01:00"/>
    <d v="1899-12-30T00:29:00"/>
    <n v="29.000000000000004"/>
    <s v="3506 Evita Drive"/>
    <m/>
    <x v="0"/>
    <x v="0"/>
    <x v="0"/>
    <s v="No"/>
  </r>
  <r>
    <n v="32"/>
    <x v="5"/>
    <s v="Tuesday"/>
    <s v="Same"/>
    <n v="53.75"/>
    <n v="5"/>
    <n v="9.3023255813953487E-2"/>
    <n v="5"/>
    <d v="1899-12-30T19:30:00"/>
    <d v="1899-12-30T19:50:00"/>
    <d v="1899-12-30T00:20:00"/>
    <n v="20"/>
    <s v="1711 Mustang Trail"/>
    <m/>
    <x v="0"/>
    <x v="0"/>
    <x v="0"/>
    <s v="Yes"/>
  </r>
  <r>
    <n v="33"/>
    <x v="5"/>
    <s v="Tuesday"/>
    <s v="Same"/>
    <n v="39.4"/>
    <n v="10.6"/>
    <n v="0.26903553299492383"/>
    <n v="1.5"/>
    <d v="1899-12-30T19:43:00"/>
    <d v="1899-12-30T20:24:00"/>
    <d v="1899-12-30T00:41:00"/>
    <n v="41"/>
    <s v="5760 Daniel Road"/>
    <n v="7311"/>
    <x v="2"/>
    <x v="0"/>
    <x v="1"/>
    <s v="No"/>
  </r>
  <r>
    <n v="34"/>
    <x v="6"/>
    <s v="Wednesday"/>
    <s v="Different"/>
    <n v="23.82"/>
    <n v="5"/>
    <n v="0.20990764063811923"/>
    <n v="1.5"/>
    <d v="1899-12-30T17:11:00"/>
    <d v="1899-12-30T17:40:00"/>
    <d v="1899-12-30T00:29:00"/>
    <n v="29.000000000000004"/>
    <s v="3601 Hearst Castle Way"/>
    <m/>
    <x v="2"/>
    <x v="0"/>
    <x v="0"/>
    <s v="No"/>
  </r>
  <r>
    <n v="35"/>
    <x v="6"/>
    <s v="Wednesday"/>
    <s v="Same"/>
    <n v="30.53"/>
    <n v="5"/>
    <n v="0.16377333770062233"/>
    <n v="1.5"/>
    <d v="1899-12-30T18:05:00"/>
    <d v="1899-12-30T18:33:00"/>
    <d v="1899-12-30T00:28:00"/>
    <n v="28"/>
    <s v="7171 Ikea Drive"/>
    <m/>
    <x v="0"/>
    <x v="0"/>
    <x v="3"/>
    <s v="No"/>
  </r>
  <r>
    <n v="36"/>
    <x v="6"/>
    <s v="Wednesday"/>
    <s v="Same"/>
    <n v="36.21"/>
    <n v="5"/>
    <n v="0.13808340237503453"/>
    <n v="1.5"/>
    <d v="1899-12-30T18:09:00"/>
    <d v="1899-12-30T18:53:00"/>
    <d v="1899-12-30T00:44:00"/>
    <n v="44"/>
    <s v="3453 Jefferson Drive"/>
    <m/>
    <x v="0"/>
    <x v="0"/>
    <x v="0"/>
    <s v="No"/>
  </r>
  <r>
    <n v="37"/>
    <x v="6"/>
    <s v="Wednesday"/>
    <s v="Same"/>
    <n v="46.98"/>
    <n v="5"/>
    <n v="0.10642826734780758"/>
    <n v="5"/>
    <d v="1899-12-30T18:13:00"/>
    <d v="1899-12-30T19:06:00"/>
    <d v="1899-12-30T00:53:00"/>
    <n v="53"/>
    <s v="4314 Indian Ceek Lane"/>
    <m/>
    <x v="0"/>
    <x v="0"/>
    <x v="0"/>
    <s v="No"/>
  </r>
  <r>
    <n v="38"/>
    <x v="6"/>
    <s v="Wednesday"/>
    <s v="Same"/>
    <n v="27.06"/>
    <n v="6"/>
    <n v="0.22172949002217296"/>
    <n v="1.5"/>
    <d v="1899-12-30T20:28:00"/>
    <d v="1899-12-30T20:55:00"/>
    <d v="1899-12-30T00:27:00"/>
    <n v="26.999999999999996"/>
    <s v="6706 Livorno Lane"/>
    <m/>
    <x v="0"/>
    <x v="0"/>
    <x v="0"/>
    <s v="No"/>
  </r>
  <r>
    <n v="39"/>
    <x v="7"/>
    <s v="Saturday"/>
    <s v="Different"/>
    <n v="15.7"/>
    <n v="3"/>
    <n v="0.19108280254777071"/>
    <n v="1.5"/>
    <d v="1899-12-30T16:11:00"/>
    <d v="1899-12-30T17:03:00"/>
    <d v="1899-12-30T00:52:00"/>
    <n v="52"/>
    <s v="9844 Cambria Court"/>
    <m/>
    <x v="2"/>
    <x v="0"/>
    <x v="0"/>
    <s v="No"/>
  </r>
  <r>
    <n v="40"/>
    <x v="7"/>
    <s v="Saturday"/>
    <s v="Same"/>
    <n v="52.12"/>
    <n v="5"/>
    <n v="9.5932463545663857E-2"/>
    <n v="1.5"/>
    <d v="1899-12-30T16:26:00"/>
    <d v="1899-12-30T17:07:00"/>
    <d v="1899-12-30T00:41:00"/>
    <n v="41"/>
    <s v="3004 Vidalia Lane"/>
    <m/>
    <x v="2"/>
    <x v="0"/>
    <x v="0"/>
    <s v="No"/>
  </r>
  <r>
    <n v="41"/>
    <x v="7"/>
    <s v="Saturday"/>
    <s v="Same"/>
    <n v="128.06"/>
    <n v="12"/>
    <n v="9.3706075277213807E-2"/>
    <n v="1.5"/>
    <d v="1899-12-30T18:22:00"/>
    <d v="1899-12-30T18:56:00"/>
    <d v="1899-12-30T00:34:00"/>
    <n v="34"/>
    <s v="5700 Red Hill Lane"/>
    <m/>
    <x v="0"/>
    <x v="2"/>
    <x v="0"/>
    <s v="No"/>
  </r>
  <r>
    <n v="42"/>
    <x v="7"/>
    <s v="Saturday"/>
    <s v="Same"/>
    <n v="21.87"/>
    <n v="3"/>
    <n v="0.13717421124828533"/>
    <n v="1.5"/>
    <d v="1899-12-30T18:33:00"/>
    <d v="1899-12-30T19:11:00"/>
    <d v="1899-12-30T00:38:00"/>
    <n v="38"/>
    <s v="2989 Belclaire Drive"/>
    <m/>
    <x v="0"/>
    <x v="3"/>
    <x v="0"/>
    <s v="No"/>
  </r>
  <r>
    <n v="43"/>
    <x v="7"/>
    <s v="Saturday"/>
    <s v="Same"/>
    <n v="50.61"/>
    <n v="8"/>
    <n v="0.15807152736613317"/>
    <n v="1.5"/>
    <d v="1899-12-30T19:12:00"/>
    <d v="1899-12-30T19:50:00"/>
    <d v="1899-12-30T00:38:00"/>
    <n v="38"/>
    <s v="5318 Cattail Court"/>
    <m/>
    <x v="0"/>
    <x v="2"/>
    <x v="0"/>
    <s v="No"/>
  </r>
  <r>
    <n v="44"/>
    <x v="7"/>
    <s v="Saturday"/>
    <s v="Same"/>
    <n v="68.31"/>
    <n v="7"/>
    <n v="0.10247401551749377"/>
    <n v="1.5"/>
    <d v="1899-12-30T19:16:00"/>
    <d v="1899-12-30T20:01:00"/>
    <d v="1899-12-30T00:45:00"/>
    <n v="45"/>
    <s v="6578 Bluffview Drive"/>
    <m/>
    <x v="0"/>
    <x v="0"/>
    <x v="0"/>
    <s v="No"/>
  </r>
  <r>
    <n v="45"/>
    <x v="7"/>
    <s v="Saturday"/>
    <s v="Same"/>
    <n v="38.42"/>
    <n v="8"/>
    <n v="0.20822488287350338"/>
    <n v="1.5"/>
    <d v="1899-12-30T19:50:00"/>
    <d v="1899-12-30T20:36:00"/>
    <d v="1899-12-30T00:46:00"/>
    <n v="46.000000000000007"/>
    <s v="5064 Stillwater Trail"/>
    <m/>
    <x v="0"/>
    <x v="2"/>
    <x v="0"/>
    <s v="No"/>
  </r>
  <r>
    <n v="46"/>
    <x v="7"/>
    <s v="Saturday"/>
    <s v="Same"/>
    <n v="38.65"/>
    <n v="4"/>
    <n v="0.10349288486416559"/>
    <n v="5"/>
    <d v="1899-12-30T20:37:00"/>
    <d v="1899-12-30T21:10:00"/>
    <d v="1899-12-30T00:33:00"/>
    <n v="33"/>
    <s v="8404 Quinton Point Drive"/>
    <m/>
    <x v="2"/>
    <x v="0"/>
    <x v="0"/>
    <s v="No"/>
  </r>
  <r>
    <n v="47"/>
    <x v="8"/>
    <s v="Sunday"/>
    <s v="Different"/>
    <n v="37.78"/>
    <n v="7"/>
    <n v="0.18528321863419797"/>
    <n v="1.5"/>
    <d v="1899-12-30T17:26:00"/>
    <d v="1899-12-30T18:05:00"/>
    <d v="1899-12-30T00:39:00"/>
    <n v="39"/>
    <s v="2338 Chelsea Drive"/>
    <m/>
    <x v="0"/>
    <x v="0"/>
    <x v="0"/>
    <s v="No"/>
  </r>
  <r>
    <n v="48"/>
    <x v="8"/>
    <s v="Sunday"/>
    <s v="Same"/>
    <n v="53.75"/>
    <n v="10"/>
    <n v="0.18604651162790697"/>
    <n v="1.5"/>
    <d v="1899-12-30T17:30:00"/>
    <d v="1899-12-30T18:17:00"/>
    <d v="1899-12-30T00:47:00"/>
    <n v="47.000000000000007"/>
    <s v="7937 Vermillion Avenue"/>
    <m/>
    <x v="0"/>
    <x v="0"/>
    <x v="0"/>
    <s v="No"/>
  </r>
  <r>
    <n v="49"/>
    <x v="8"/>
    <s v="Sunday"/>
    <s v="Same"/>
    <n v="20.03"/>
    <n v="4"/>
    <n v="0.19970044932601097"/>
    <n v="5"/>
    <d v="1899-12-30T17:27:00"/>
    <d v="1899-12-30T18:25:00"/>
    <d v="1899-12-30T00:58:00"/>
    <n v="58.000000000000007"/>
    <s v="4057 Chevy Chase Lane"/>
    <m/>
    <x v="0"/>
    <x v="0"/>
    <x v="0"/>
    <s v="No"/>
  </r>
  <r>
    <n v="50"/>
    <x v="8"/>
    <s v="Sunday"/>
    <s v="Same"/>
    <n v="44.38"/>
    <n v="6.62"/>
    <n v="0.14916629112212706"/>
    <n v="1.5"/>
    <d v="1899-12-30T18:59:00"/>
    <d v="1899-12-30T19:30:00"/>
    <d v="1899-12-30T00:31:00"/>
    <n v="31.000000000000004"/>
    <s v="6805 Lebanon Road"/>
    <n v="627"/>
    <x v="0"/>
    <x v="0"/>
    <x v="1"/>
    <s v="No"/>
  </r>
  <r>
    <n v="51"/>
    <x v="8"/>
    <s v="Sunday"/>
    <s v="Same"/>
    <n v="52.77"/>
    <n v="10"/>
    <n v="0.18950161076369149"/>
    <n v="1.5"/>
    <d v="1899-12-30T18:59:00"/>
    <d v="1899-12-30T19:39:00"/>
    <d v="1899-12-30T00:40:00"/>
    <n v="40"/>
    <s v="4340 Florentine Lane"/>
    <m/>
    <x v="0"/>
    <x v="0"/>
    <x v="0"/>
    <s v="No"/>
  </r>
  <r>
    <n v="52"/>
    <x v="8"/>
    <s v="Sunday"/>
    <s v="Same"/>
    <n v="20.239999999999998"/>
    <n v="3"/>
    <n v="0.14822134387351779"/>
    <n v="1.5"/>
    <d v="1899-12-30T19:27:00"/>
    <d v="1899-12-30T20:08:00"/>
    <d v="1899-12-30T00:41:00"/>
    <n v="41"/>
    <s v="3512 Burnet Drive"/>
    <m/>
    <x v="2"/>
    <x v="0"/>
    <x v="0"/>
    <s v="No"/>
  </r>
  <r>
    <n v="53"/>
    <x v="9"/>
    <s v="Monday"/>
    <s v="Different"/>
    <n v="23.82"/>
    <n v="3.18"/>
    <n v="0.13350125944584385"/>
    <n v="1.5"/>
    <d v="1899-12-30T16:54:00"/>
    <d v="1899-12-30T17:31:00"/>
    <d v="1899-12-30T00:37:00"/>
    <n v="37"/>
    <s v="8100 Memorial Lane"/>
    <n v="7108"/>
    <x v="2"/>
    <x v="0"/>
    <x v="1"/>
    <s v="No"/>
  </r>
  <r>
    <n v="54"/>
    <x v="9"/>
    <s v="Monday"/>
    <s v="Same"/>
    <n v="34.1"/>
    <n v="3.38"/>
    <n v="9.9120234604105559E-2"/>
    <n v="1.5"/>
    <d v="1899-12-30T17:35:00"/>
    <d v="1899-12-30T18:04:00"/>
    <d v="1899-12-30T00:29:00"/>
    <n v="29.000000000000004"/>
    <s v="6709 Gray Wolf Drive"/>
    <m/>
    <x v="2"/>
    <x v="0"/>
    <x v="0"/>
    <s v="No"/>
  </r>
  <r>
    <n v="55"/>
    <x v="9"/>
    <s v="Monday"/>
    <s v="Same"/>
    <n v="48.17"/>
    <n v="5"/>
    <n v="0.10379904504878555"/>
    <n v="1.5"/>
    <d v="1899-12-30T18:10:00"/>
    <d v="1899-12-30T18:45:00"/>
    <d v="1899-12-30T00:35:00"/>
    <n v="35"/>
    <s v="4607 Haverford Drive"/>
    <m/>
    <x v="0"/>
    <x v="0"/>
    <x v="0"/>
    <s v="No"/>
  </r>
  <r>
    <n v="56"/>
    <x v="9"/>
    <s v="Monday"/>
    <s v="Same"/>
    <n v="57.91"/>
    <n v="10"/>
    <n v="0.17268174753928511"/>
    <n v="1.5"/>
    <d v="1899-12-30T18:19:00"/>
    <d v="1899-12-30T18:54:00"/>
    <d v="1899-12-30T00:35:00"/>
    <n v="35"/>
    <s v="6806 Lebanon Road"/>
    <m/>
    <x v="0"/>
    <x v="0"/>
    <x v="0"/>
    <s v="No"/>
  </r>
  <r>
    <n v="57"/>
    <x v="9"/>
    <s v="Monday"/>
    <s v="Same"/>
    <n v="18.350000000000001"/>
    <n v="6.65"/>
    <n v="0.3623978201634877"/>
    <n v="1.5"/>
    <d v="1899-12-30T18:20:00"/>
    <d v="1899-12-30T19:06:00"/>
    <d v="1899-12-30T00:46:00"/>
    <n v="46.000000000000007"/>
    <s v="8014 Oak Point Drive"/>
    <m/>
    <x v="0"/>
    <x v="0"/>
    <x v="0"/>
    <s v="No"/>
  </r>
  <r>
    <n v="58"/>
    <x v="9"/>
    <s v="Monday"/>
    <s v="Same"/>
    <n v="37.89"/>
    <n v="19.11"/>
    <n v="0.5043547110055423"/>
    <n v="5"/>
    <d v="1899-12-30T19:25:00"/>
    <d v="1899-12-30T19:52:00"/>
    <d v="1899-12-30T00:27:00"/>
    <n v="26.999999999999996"/>
    <s v="8061 Hillside Drive"/>
    <m/>
    <x v="0"/>
    <x v="0"/>
    <x v="0"/>
    <s v="No"/>
  </r>
  <r>
    <n v="59"/>
    <x v="9"/>
    <s v="Monday"/>
    <s v="Same"/>
    <n v="80.319999999999993"/>
    <n v="7"/>
    <n v="8.7151394422310763E-2"/>
    <n v="1.5"/>
    <d v="1899-12-30T19:09:00"/>
    <d v="1899-12-30T20:03:00"/>
    <d v="1899-12-30T00:54:00"/>
    <n v="53.999999999999993"/>
    <s v="7978 Stone River Drive"/>
    <m/>
    <x v="0"/>
    <x v="0"/>
    <x v="0"/>
    <s v="No"/>
  </r>
  <r>
    <n v="60"/>
    <x v="10"/>
    <s v="Tuesday"/>
    <s v="Different"/>
    <n v="36.26"/>
    <n v="6"/>
    <n v="0.16547159404302261"/>
    <n v="1.5"/>
    <d v="1899-12-30T17:22:00"/>
    <d v="1899-12-30T17:53:00"/>
    <d v="1899-12-30T00:31:00"/>
    <n v="31.000000000000004"/>
    <s v="4241 Armistice Drive"/>
    <m/>
    <x v="0"/>
    <x v="4"/>
    <x v="0"/>
    <s v="No"/>
  </r>
  <r>
    <n v="61"/>
    <x v="10"/>
    <s v="Tuesday"/>
    <s v="Same"/>
    <n v="29.39"/>
    <n v="5.5"/>
    <n v="0.18713848247703299"/>
    <n v="5"/>
    <d v="1899-12-30T18:11:00"/>
    <d v="1899-12-30T18:43:00"/>
    <d v="1899-12-30T00:32:00"/>
    <n v="32"/>
    <s v="4126 Nobleman Drive"/>
    <m/>
    <x v="0"/>
    <x v="0"/>
    <x v="0"/>
    <s v="No"/>
  </r>
  <r>
    <n v="62"/>
    <x v="10"/>
    <s v="Tuesday"/>
    <s v="Same"/>
    <n v="24.09"/>
    <n v="3"/>
    <n v="0.12453300124533001"/>
    <n v="7"/>
    <d v="1899-12-30T18:16:00"/>
    <d v="1899-12-30T18:54:00"/>
    <d v="1899-12-30T00:38:00"/>
    <n v="38"/>
    <s v="12444 Riverhill Road"/>
    <m/>
    <x v="0"/>
    <x v="0"/>
    <x v="0"/>
    <s v="No"/>
  </r>
  <r>
    <n v="63"/>
    <x v="10"/>
    <s v="Tuesday"/>
    <s v="Same"/>
    <n v="91.69"/>
    <n v="18"/>
    <n v="0.19631366561238958"/>
    <n v="1.5"/>
    <d v="1899-12-30T20:05:00"/>
    <d v="1899-12-30T20:37:00"/>
    <d v="1899-12-30T00:32:00"/>
    <n v="32"/>
    <s v="7901 Glenoaks Drive"/>
    <m/>
    <x v="0"/>
    <x v="0"/>
    <x v="0"/>
    <s v="No"/>
  </r>
  <r>
    <n v="64"/>
    <x v="10"/>
    <s v="Tuesday"/>
    <s v="Same"/>
    <n v="28.69"/>
    <n v="5"/>
    <n v="0.17427675148135238"/>
    <n v="1.5"/>
    <d v="1899-12-30T20:42:00"/>
    <d v="1899-12-30T21:15:00"/>
    <d v="1899-12-30T00:33:00"/>
    <n v="33"/>
    <s v="14700 TX-121"/>
    <n v="401"/>
    <x v="0"/>
    <x v="0"/>
    <x v="2"/>
    <s v="No"/>
  </r>
  <r>
    <n v="65"/>
    <x v="11"/>
    <s v="Wednesday"/>
    <s v="Different"/>
    <n v="35.93"/>
    <n v="5"/>
    <n v="0.13915947676036738"/>
    <n v="1.5"/>
    <d v="1899-12-30T17:30:00"/>
    <d v="1899-12-30T17:33:00"/>
    <d v="1899-12-30T00:03:00"/>
    <n v="3"/>
    <s v="4553 Turnberry Court"/>
    <m/>
    <x v="2"/>
    <x v="0"/>
    <x v="0"/>
    <s v="Yes"/>
  </r>
  <r>
    <n v="66"/>
    <x v="11"/>
    <s v="Wednesday"/>
    <s v="Same"/>
    <n v="78.64"/>
    <n v="0"/>
    <n v="0"/>
    <n v="1.5"/>
    <d v="1899-12-30T18:32:00"/>
    <d v="1899-12-30T18:52:00"/>
    <d v="1899-12-30T00:20:00"/>
    <n v="20"/>
    <s v="2600 North Dallas Parkway"/>
    <n v="590"/>
    <x v="0"/>
    <x v="0"/>
    <x v="3"/>
    <s v="No"/>
  </r>
  <r>
    <n v="67"/>
    <x v="11"/>
    <s v="Wednesday"/>
    <s v="Same"/>
    <n v="39.94"/>
    <n v="10"/>
    <n v="0.25037556334501754"/>
    <n v="1.5"/>
    <d v="1899-12-30T18:28:00"/>
    <d v="1899-12-30T19:05:00"/>
    <d v="1899-12-30T00:37:00"/>
    <n v="37"/>
    <s v="24 Canyon Crest Court"/>
    <m/>
    <x v="0"/>
    <x v="1"/>
    <x v="0"/>
    <s v="No"/>
  </r>
  <r>
    <n v="68"/>
    <x v="11"/>
    <s v="Wednesday"/>
    <s v="Same"/>
    <n v="54.34"/>
    <n v="5"/>
    <n v="9.2013249907986747E-2"/>
    <n v="1.5"/>
    <d v="1899-12-30T19:21:00"/>
    <d v="1899-12-30T19:46:00"/>
    <d v="1899-12-30T00:25:00"/>
    <n v="25"/>
    <s v="5580 Preston Road"/>
    <m/>
    <x v="0"/>
    <x v="0"/>
    <x v="3"/>
    <s v="No"/>
  </r>
  <r>
    <n v="69"/>
    <x v="11"/>
    <s v="Wednesday"/>
    <s v="Same"/>
    <n v="18.350000000000001"/>
    <n v="3.35"/>
    <n v="0.18256130790190736"/>
    <n v="1.5"/>
    <d v="1899-12-30T20:31:00"/>
    <d v="1899-12-30T20:58:00"/>
    <d v="1899-12-30T00:27:00"/>
    <n v="26.999999999999996"/>
    <s v="7105 Falling Water Lane"/>
    <m/>
    <x v="2"/>
    <x v="0"/>
    <x v="0"/>
    <s v="No"/>
  </r>
  <r>
    <n v="70"/>
    <x v="12"/>
    <s v="Friday"/>
    <s v="Different"/>
    <n v="27.04"/>
    <n v="4.96"/>
    <n v="0.18343195266272189"/>
    <n v="1.5"/>
    <d v="1899-12-30T12:30:00"/>
    <d v="1899-12-30T13:56:00"/>
    <d v="1899-12-30T01:26:00"/>
    <n v="86"/>
    <s v="7160 Dallas Parkway"/>
    <n v="400"/>
    <x v="2"/>
    <x v="0"/>
    <x v="3"/>
    <s v="No"/>
  </r>
  <r>
    <n v="71"/>
    <x v="12"/>
    <s v="Friday"/>
    <s v="Same"/>
    <n v="15.69"/>
    <n v="2"/>
    <n v="0.12746972594008923"/>
    <n v="1.5"/>
    <d v="1899-12-30T13:17:00"/>
    <d v="1899-12-30T14:08:00"/>
    <d v="1899-12-30T00:51:00"/>
    <n v="51"/>
    <s v="5005 Whitestone Lane"/>
    <m/>
    <x v="2"/>
    <x v="0"/>
    <x v="0"/>
    <s v="No"/>
  </r>
  <r>
    <n v="72"/>
    <x v="12"/>
    <s v="Friday"/>
    <s v="Same"/>
    <n v="22.54"/>
    <n v="5"/>
    <n v="0.22182786157941439"/>
    <n v="5"/>
    <d v="1899-12-30T17:26:00"/>
    <d v="1899-12-30T18:00:00"/>
    <d v="1899-12-30T00:34:00"/>
    <n v="34"/>
    <s v="1711 Mustang Trail"/>
    <m/>
    <x v="0"/>
    <x v="0"/>
    <x v="0"/>
    <s v="No"/>
  </r>
  <r>
    <n v="73"/>
    <x v="12"/>
    <s v="Friday"/>
    <s v="Same"/>
    <n v="22.19"/>
    <n v="9.81"/>
    <n v="0.44209103199639477"/>
    <n v="1.5"/>
    <d v="1899-12-30T18:28:00"/>
    <d v="1899-12-30T18:52:00"/>
    <d v="1899-12-30T00:24:00"/>
    <n v="24"/>
    <s v="3312 Westwind Drive"/>
    <m/>
    <x v="2"/>
    <x v="0"/>
    <x v="0"/>
    <s v="No"/>
  </r>
  <r>
    <n v="74"/>
    <x v="12"/>
    <s v="Friday"/>
    <s v="Same"/>
    <n v="33.229999999999997"/>
    <n v="5"/>
    <n v="0.15046644598254591"/>
    <n v="1.5"/>
    <d v="1899-12-30T18:51:00"/>
    <d v="1899-12-30T19:16:00"/>
    <d v="1899-12-30T00:25:00"/>
    <n v="25"/>
    <s v="7600 John Q Hammons Blvd"/>
    <m/>
    <x v="0"/>
    <x v="0"/>
    <x v="2"/>
    <s v="No"/>
  </r>
  <r>
    <n v="75"/>
    <x v="12"/>
    <s v="Friday"/>
    <s v="Same"/>
    <n v="38.65"/>
    <n v="6"/>
    <n v="0.1552393272962484"/>
    <n v="1.5"/>
    <d v="1899-12-30T19:36:00"/>
    <d v="1899-12-30T20:00:00"/>
    <d v="1899-12-30T00:24:00"/>
    <n v="24"/>
    <s v="6804 Amaretto Court"/>
    <m/>
    <x v="2"/>
    <x v="0"/>
    <x v="0"/>
    <s v="No"/>
  </r>
  <r>
    <n v="76"/>
    <x v="12"/>
    <s v="Friday"/>
    <s v="Same"/>
    <n v="96.72"/>
    <n v="10"/>
    <n v="0.10339123242349049"/>
    <n v="1.5"/>
    <d v="1899-12-30T19:38:00"/>
    <d v="1899-12-30T20:03:00"/>
    <d v="1899-12-30T00:25:00"/>
    <n v="25"/>
    <s v="6701 Vista Trail"/>
    <m/>
    <x v="2"/>
    <x v="0"/>
    <x v="0"/>
    <s v="No"/>
  </r>
  <r>
    <n v="77"/>
    <x v="12"/>
    <s v="Friday"/>
    <s v="Same"/>
    <n v="33.72"/>
    <n v="7"/>
    <n v="0.20759193357058126"/>
    <n v="1.5"/>
    <d v="1899-12-30T20:17:00"/>
    <d v="1899-12-30T20:57:00"/>
    <d v="1899-12-30T00:40:00"/>
    <n v="40"/>
    <s v="7600 John Q Hammons Blvd"/>
    <m/>
    <x v="0"/>
    <x v="0"/>
    <x v="2"/>
    <s v="No"/>
  </r>
  <r>
    <n v="78"/>
    <x v="12"/>
    <s v="Friday"/>
    <s v="Same"/>
    <n v="34.32"/>
    <n v="8"/>
    <n v="0.23310023310023309"/>
    <n v="1.5"/>
    <d v="1899-12-30T20:21:00"/>
    <d v="1899-12-30T21:09:00"/>
    <d v="1899-12-30T00:48:00"/>
    <n v="48"/>
    <s v="10114 Loving Trail Drive"/>
    <m/>
    <x v="0"/>
    <x v="0"/>
    <x v="0"/>
    <s v="No"/>
  </r>
  <r>
    <n v="79"/>
    <x v="12"/>
    <s v="Friday"/>
    <s v="Same"/>
    <n v="37.89"/>
    <n v="5"/>
    <n v="0.13196093956188967"/>
    <n v="1.5"/>
    <d v="1899-12-30T20:26:00"/>
    <d v="1899-12-30T21:16:00"/>
    <d v="1899-12-30T00:50:00"/>
    <n v="50"/>
    <s v="11005 Aurora Lane"/>
    <m/>
    <x v="0"/>
    <x v="0"/>
    <x v="0"/>
    <s v="No"/>
  </r>
  <r>
    <n v="80"/>
    <x v="13"/>
    <s v="Sunday"/>
    <s v="Different"/>
    <n v="24.36"/>
    <n v="5"/>
    <n v="0.20525451559934318"/>
    <n v="1.5"/>
    <d v="1899-12-30T16:39:00"/>
    <d v="1899-12-30T17:14:00"/>
    <d v="1899-12-30T00:35:00"/>
    <n v="35"/>
    <s v="5636 Truitt Street"/>
    <m/>
    <x v="3"/>
    <x v="0"/>
    <x v="0"/>
    <s v="No"/>
  </r>
  <r>
    <n v="81"/>
    <x v="13"/>
    <s v="Sunday"/>
    <s v="Same"/>
    <n v="76.48"/>
    <n v="5"/>
    <n v="6.5376569037656901E-2"/>
    <n v="5"/>
    <d v="1899-12-30T17:25:00"/>
    <d v="1899-12-30T18:04:00"/>
    <d v="1899-12-30T00:39:00"/>
    <n v="39"/>
    <s v="11448 Altamont Drive"/>
    <m/>
    <x v="0"/>
    <x v="0"/>
    <x v="0"/>
    <s v="No"/>
  </r>
  <r>
    <n v="82"/>
    <x v="13"/>
    <s v="Sunday"/>
    <s v="Same"/>
    <n v="30.53"/>
    <n v="6"/>
    <n v="0.19652800524074679"/>
    <n v="1.5"/>
    <d v="1899-12-30T17:29:00"/>
    <d v="1899-12-30T18:19:00"/>
    <d v="1899-12-30T00:50:00"/>
    <n v="50"/>
    <s v="4347 Mariner Drive"/>
    <m/>
    <x v="0"/>
    <x v="0"/>
    <x v="0"/>
    <s v="No"/>
  </r>
  <r>
    <n v="83"/>
    <x v="13"/>
    <s v="Sunday"/>
    <s v="Same"/>
    <n v="38.1"/>
    <n v="5.9"/>
    <n v="0.15485564304461943"/>
    <n v="1.5"/>
    <d v="1899-12-30T18:13:00"/>
    <d v="1899-12-30T18:45:00"/>
    <d v="1899-12-30T00:32:00"/>
    <n v="32"/>
    <s v="7708 Ludwig Castle Way"/>
    <m/>
    <x v="2"/>
    <x v="0"/>
    <x v="0"/>
    <s v="No"/>
  </r>
  <r>
    <n v="84"/>
    <x v="13"/>
    <s v="Sunday"/>
    <s v="Same"/>
    <n v="57.32"/>
    <n v="12"/>
    <n v="0.209351011863224"/>
    <n v="1.5"/>
    <d v="1899-12-30T18:52:00"/>
    <d v="1899-12-30T19:34:00"/>
    <d v="1899-12-30T00:42:00"/>
    <n v="42"/>
    <s v="3600 Crownhill Drive"/>
    <m/>
    <x v="2"/>
    <x v="0"/>
    <x v="0"/>
    <s v="No"/>
  </r>
  <r>
    <n v="85"/>
    <x v="13"/>
    <s v="Sunday"/>
    <s v="Same"/>
    <n v="89.79"/>
    <n v="10"/>
    <n v="0.11137097672346585"/>
    <n v="1.5"/>
    <d v="1899-12-30T18:57:00"/>
    <d v="1899-12-30T19:46:00"/>
    <d v="1899-12-30T00:49:00"/>
    <n v="49"/>
    <s v="6900 Bishop Road"/>
    <n v="4113"/>
    <x v="2"/>
    <x v="0"/>
    <x v="1"/>
    <s v="No"/>
  </r>
  <r>
    <n v="86"/>
    <x v="13"/>
    <s v="Sunday"/>
    <s v="Same"/>
    <n v="89.2"/>
    <n v="15"/>
    <n v="0.16816143497757846"/>
    <n v="1.5"/>
    <d v="1899-12-30T19:48:00"/>
    <d v="1899-12-30T20:17:00"/>
    <d v="1899-12-30T00:29:00"/>
    <n v="29.000000000000004"/>
    <s v="2248 Cardinal Blvd"/>
    <m/>
    <x v="4"/>
    <x v="0"/>
    <x v="0"/>
    <s v="No"/>
  </r>
  <r>
    <n v="87"/>
    <x v="13"/>
    <s v="Sunday"/>
    <s v="Same"/>
    <n v="36.97"/>
    <n v="6"/>
    <n v="0.16229375169055993"/>
    <n v="1.5"/>
    <d v="1899-12-30T21:26:00"/>
    <d v="1899-12-30T22:05:00"/>
    <d v="1899-12-30T00:39:00"/>
    <n v="39"/>
    <s v="7859 Clara Drive"/>
    <n v="3307"/>
    <x v="2"/>
    <x v="0"/>
    <x v="1"/>
    <s v="No"/>
  </r>
  <r>
    <n v="88"/>
    <x v="14"/>
    <s v="Monday"/>
    <s v="Different"/>
    <n v="27.07"/>
    <n v="5"/>
    <n v="0.1847063169560399"/>
    <n v="1.5"/>
    <d v="1899-12-30T17:06:00"/>
    <d v="1899-12-30T17:32:00"/>
    <d v="1899-12-30T00:26:00"/>
    <n v="26"/>
    <s v="4117 Guthrie Drive"/>
    <m/>
    <x v="2"/>
    <x v="0"/>
    <x v="0"/>
    <s v="No"/>
  </r>
  <r>
    <n v="89"/>
    <x v="14"/>
    <s v="Monday"/>
    <s v="Same"/>
    <n v="38.32"/>
    <n v="5"/>
    <n v="0.13048016701461379"/>
    <n v="1.5"/>
    <d v="1899-12-30T18:00:00"/>
    <d v="1899-12-30T18:20:00"/>
    <d v="1899-12-30T00:20:00"/>
    <n v="20"/>
    <s v="4805 Thorntree Drive"/>
    <m/>
    <x v="2"/>
    <x v="0"/>
    <x v="0"/>
    <s v="No"/>
  </r>
  <r>
    <n v="90"/>
    <x v="14"/>
    <s v="Monday"/>
    <s v="Same"/>
    <n v="60.46"/>
    <n v="5"/>
    <n v="8.2699305325835262E-2"/>
    <n v="1.5"/>
    <d v="1899-12-30T19:00:00"/>
    <d v="1899-12-30T19:24:00"/>
    <d v="1899-12-30T00:24:00"/>
    <n v="24"/>
    <s v="11300 Rio Secco Drive"/>
    <m/>
    <x v="0"/>
    <x v="0"/>
    <x v="0"/>
    <s v="No"/>
  </r>
  <r>
    <n v="91"/>
    <x v="14"/>
    <s v="Monday"/>
    <s v="Same"/>
    <n v="28.69"/>
    <n v="21.31"/>
    <n v="0.74276751481352377"/>
    <n v="1.5"/>
    <d v="1899-12-30T19:52:00"/>
    <d v="1899-12-30T20:16:00"/>
    <d v="1899-12-30T00:24:00"/>
    <n v="24"/>
    <s v="2356 Chelsea Drive"/>
    <m/>
    <x v="0"/>
    <x v="0"/>
    <x v="0"/>
    <s v="No"/>
  </r>
  <r>
    <n v="92"/>
    <x v="14"/>
    <s v="Monday"/>
    <s v="Same"/>
    <n v="32.96"/>
    <n v="7"/>
    <n v="0.21237864077669902"/>
    <n v="1.5"/>
    <d v="1899-12-30T20:21:00"/>
    <d v="1899-12-30T20:41:00"/>
    <d v="1899-12-30T00:20:00"/>
    <n v="20"/>
    <s v="8701 Win Road"/>
    <m/>
    <x v="2"/>
    <x v="0"/>
    <x v="0"/>
    <s v="No"/>
  </r>
  <r>
    <n v="93"/>
    <x v="14"/>
    <s v="Monday"/>
    <s v="Same"/>
    <n v="48.6"/>
    <n v="10"/>
    <n v="0.20576131687242799"/>
    <n v="1.5"/>
    <d v="1899-12-30T21:28:00"/>
    <d v="1899-12-30T21:50:00"/>
    <d v="1899-12-30T00:22:00"/>
    <n v="22"/>
    <s v="3240 Parkwood Blvd"/>
    <n v="304"/>
    <x v="0"/>
    <x v="0"/>
    <x v="2"/>
    <s v="No"/>
  </r>
  <r>
    <n v="94"/>
    <x v="15"/>
    <s v="Wednesday"/>
    <s v="Different"/>
    <n v="39.729999999999997"/>
    <n v="6"/>
    <n v="0.15101938082053865"/>
    <n v="7"/>
    <d v="1899-12-30T16:52:00"/>
    <d v="1899-12-30T17:21:00"/>
    <d v="1899-12-30T00:29:00"/>
    <n v="29.000000000000004"/>
    <s v="12236 Genova Court"/>
    <m/>
    <x v="0"/>
    <x v="0"/>
    <x v="0"/>
    <s v="No"/>
  </r>
  <r>
    <n v="95"/>
    <x v="15"/>
    <s v="Wednesday"/>
    <s v="Same"/>
    <n v="234.36"/>
    <n v="32.47"/>
    <n v="0.13854753370882403"/>
    <n v="1.5"/>
    <d v="1899-12-30T18:00:00"/>
    <d v="1899-12-30T18:04:00"/>
    <d v="1899-12-30T00:04:00"/>
    <n v="4"/>
    <s v="3501 Edwards Drive"/>
    <m/>
    <x v="2"/>
    <x v="0"/>
    <x v="0"/>
    <s v="Yes"/>
  </r>
  <r>
    <n v="96"/>
    <x v="15"/>
    <s v="Wednesday"/>
    <s v="Same"/>
    <n v="234.36"/>
    <n v="20"/>
    <n v="8.5338795016214372E-2"/>
    <n v="0"/>
    <d v="1899-12-30T18:00:00"/>
    <d v="1899-12-30T18:04:00"/>
    <d v="1899-12-30T00:04:00"/>
    <n v="4"/>
    <s v="3501 Edwards Drive"/>
    <m/>
    <x v="2"/>
    <x v="0"/>
    <x v="0"/>
    <s v="Yes"/>
  </r>
  <r>
    <n v="97"/>
    <x v="15"/>
    <s v="Wednesday"/>
    <s v="Same"/>
    <n v="234.36"/>
    <n v="30"/>
    <n v="0.12800819252432155"/>
    <n v="0"/>
    <d v="1899-12-30T18:00:00"/>
    <d v="1899-12-30T18:04:00"/>
    <d v="1899-12-30T00:04:00"/>
    <n v="4"/>
    <s v="3501 Edwards Drive"/>
    <m/>
    <x v="2"/>
    <x v="0"/>
    <x v="0"/>
    <s v="Yes"/>
  </r>
  <r>
    <n v="98"/>
    <x v="15"/>
    <s v="Wednesday"/>
    <s v="Same"/>
    <n v="30.53"/>
    <n v="5"/>
    <n v="0.16377333770062233"/>
    <n v="1.5"/>
    <d v="1899-12-30T18:04:00"/>
    <d v="1899-12-30T18:40:00"/>
    <d v="1899-12-30T00:36:00"/>
    <n v="36"/>
    <s v="4607 Haverford Drive"/>
    <m/>
    <x v="0"/>
    <x v="0"/>
    <x v="0"/>
    <s v="No"/>
  </r>
  <r>
    <n v="99"/>
    <x v="15"/>
    <s v="Wednesday"/>
    <s v="Same"/>
    <n v="18.350000000000001"/>
    <n v="5"/>
    <n v="0.27247956403269752"/>
    <n v="1.5"/>
    <d v="1899-12-30T18:58:00"/>
    <d v="1899-12-30T19:19:00"/>
    <d v="1899-12-30T00:21:00"/>
    <n v="21"/>
    <s v="6608 Indian Trail"/>
    <m/>
    <x v="2"/>
    <x v="0"/>
    <x v="0"/>
    <s v="No"/>
  </r>
  <r>
    <n v="100"/>
    <x v="15"/>
    <s v="Wednesday"/>
    <s v="Same"/>
    <n v="44.98"/>
    <n v="10"/>
    <n v="0.22232103156958649"/>
    <n v="7"/>
    <d v="1899-12-30T19:30:00"/>
    <d v="1899-12-30T20:08:00"/>
    <d v="1899-12-30T00:38:00"/>
    <n v="38"/>
    <s v="2607 Sir Turquin Lane"/>
    <m/>
    <x v="1"/>
    <x v="0"/>
    <x v="0"/>
    <s v="No"/>
  </r>
  <r>
    <n v="101"/>
    <x v="15"/>
    <s v="Wednesday"/>
    <s v="Same"/>
    <n v="38.1"/>
    <n v="11.9"/>
    <n v="0.31233595800524933"/>
    <n v="1.5"/>
    <d v="1899-12-30T20:21:00"/>
    <d v="1899-12-30T20:51:00"/>
    <d v="1899-12-30T00:30:00"/>
    <n v="30"/>
    <s v="3111 Camden Bluff Road"/>
    <m/>
    <x v="0"/>
    <x v="0"/>
    <x v="0"/>
    <s v="No"/>
  </r>
  <r>
    <n v="102"/>
    <x v="15"/>
    <s v="Wednesday"/>
    <s v="Same"/>
    <n v="14.61"/>
    <n v="4"/>
    <n v="0.27378507871321012"/>
    <n v="1.5"/>
    <d v="1899-12-30T21:23:00"/>
    <d v="1899-12-30T21:39:00"/>
    <d v="1899-12-30T00:16:00"/>
    <n v="16"/>
    <s v="7550 Gaylord Parkway"/>
    <n v="413"/>
    <x v="0"/>
    <x v="0"/>
    <x v="2"/>
    <s v="No"/>
  </r>
  <r>
    <n v="103"/>
    <x v="16"/>
    <s v="Friday"/>
    <s v="Different"/>
    <n v="60.62"/>
    <n v="7"/>
    <n v="0.11547344110854504"/>
    <n v="1.5"/>
    <d v="1899-12-30T17:33:00"/>
    <d v="1899-12-30T18:04:00"/>
    <d v="1899-12-30T00:31:00"/>
    <n v="31.000000000000004"/>
    <s v="2875 Parkwood Blvd"/>
    <n v="109"/>
    <x v="0"/>
    <x v="0"/>
    <x v="2"/>
    <s v="No"/>
  </r>
  <r>
    <n v="104"/>
    <x v="16"/>
    <s v="Friday"/>
    <s v="Same"/>
    <n v="54.29"/>
    <n v="5"/>
    <n v="9.2097992263768649E-2"/>
    <n v="1.5"/>
    <d v="1899-12-30T17:43:00"/>
    <d v="1899-12-30T18:23:00"/>
    <d v="1899-12-30T00:40:00"/>
    <n v="40"/>
    <s v="7909 Lawler Park Drive"/>
    <m/>
    <x v="0"/>
    <x v="0"/>
    <x v="0"/>
    <s v="No"/>
  </r>
  <r>
    <n v="105"/>
    <x v="16"/>
    <s v="Friday"/>
    <s v="Same"/>
    <n v="30.74"/>
    <n v="4.26"/>
    <n v="0.13858165256994145"/>
    <n v="1.5"/>
    <d v="1899-12-30T18:33:00"/>
    <d v="1899-12-30T18:51:00"/>
    <d v="1899-12-30T00:18:00"/>
    <n v="18"/>
    <s v="7600 John Q Hammons Blvd"/>
    <n v="1209"/>
    <x v="0"/>
    <x v="0"/>
    <x v="2"/>
    <s v="No"/>
  </r>
  <r>
    <n v="106"/>
    <x v="16"/>
    <s v="Friday"/>
    <s v="Same"/>
    <n v="20.239999999999998"/>
    <n v="5"/>
    <n v="0.24703557312252966"/>
    <n v="1.5"/>
    <d v="1899-12-30T19:07:00"/>
    <d v="1899-12-30T19:43:00"/>
    <d v="1899-12-30T00:36:00"/>
    <n v="36"/>
    <s v="5521 Eagle River Drive"/>
    <m/>
    <x v="3"/>
    <x v="0"/>
    <x v="0"/>
    <s v="No"/>
  </r>
  <r>
    <n v="107"/>
    <x v="16"/>
    <s v="Friday"/>
    <s v="Same"/>
    <n v="24.36"/>
    <n v="3"/>
    <n v="0.12315270935960591"/>
    <n v="1.5"/>
    <d v="1899-12-30T19:09:00"/>
    <d v="1899-12-30T19:49:00"/>
    <d v="1899-12-30T00:40:00"/>
    <n v="40"/>
    <s v="5714 Green Hollow Lane"/>
    <m/>
    <x v="3"/>
    <x v="0"/>
    <x v="0"/>
    <s v="No"/>
  </r>
  <r>
    <n v="108"/>
    <x v="16"/>
    <s v="Friday"/>
    <s v="Same"/>
    <n v="56.4"/>
    <n v="9"/>
    <n v="0.15957446808510639"/>
    <n v="1.5"/>
    <d v="1899-12-30T19:15:00"/>
    <d v="1899-12-30T19:53:00"/>
    <d v="1899-12-30T00:38:00"/>
    <n v="38"/>
    <s v="5769 Bedford Lane"/>
    <m/>
    <x v="3"/>
    <x v="0"/>
    <x v="0"/>
    <s v="No"/>
  </r>
  <r>
    <n v="109"/>
    <x v="16"/>
    <s v="Friday"/>
    <s v="Same"/>
    <n v="54.13"/>
    <n v="7.87"/>
    <n v="0.14539072602992795"/>
    <n v="1.5"/>
    <d v="1899-12-30T20:02:00"/>
    <d v="1899-12-30T20:29:00"/>
    <d v="1899-12-30T00:27:00"/>
    <n v="26.999999999999996"/>
    <s v="5760 Daniel Road"/>
    <m/>
    <x v="2"/>
    <x v="0"/>
    <x v="1"/>
    <s v="No"/>
  </r>
  <r>
    <n v="110"/>
    <x v="16"/>
    <s v="Friday"/>
    <s v="Same"/>
    <n v="29.23"/>
    <n v="0"/>
    <n v="0"/>
    <n v="7"/>
    <d v="1899-12-30T20:09:00"/>
    <d v="1899-12-30T20:44:00"/>
    <d v="1899-12-30T00:35:00"/>
    <n v="35"/>
    <s v="7933 Linkwood Court"/>
    <m/>
    <x v="2"/>
    <x v="0"/>
    <x v="0"/>
    <s v="No"/>
  </r>
  <r>
    <n v="111"/>
    <x v="17"/>
    <s v="Saturday"/>
    <s v="Different"/>
    <n v="27.01"/>
    <n v="6"/>
    <n v="0.22213994816734542"/>
    <n v="1.5"/>
    <d v="1899-12-30T16:35:00"/>
    <d v="1899-12-30T17:10:00"/>
    <d v="1899-12-30T00:35:00"/>
    <n v="35"/>
    <s v="7001 Parkwood Blvd"/>
    <n v="2103"/>
    <x v="2"/>
    <x v="0"/>
    <x v="1"/>
    <s v="No"/>
  </r>
  <r>
    <n v="112"/>
    <x v="17"/>
    <s v="Saturday"/>
    <s v="Same"/>
    <n v="36.64"/>
    <n v="3.36"/>
    <n v="9.1703056768558944E-2"/>
    <n v="7"/>
    <d v="1899-12-30T18:25:00"/>
    <d v="1899-12-30T18:58:00"/>
    <d v="1899-12-30T00:33:00"/>
    <n v="33"/>
    <s v="1779 Eagle Crest Dr"/>
    <m/>
    <x v="4"/>
    <x v="0"/>
    <x v="0"/>
    <s v="No"/>
  </r>
  <r>
    <n v="113"/>
    <x v="17"/>
    <s v="Saturday"/>
    <s v="Same"/>
    <n v="30.85"/>
    <n v="6"/>
    <n v="0.19448946515397081"/>
    <n v="1.5"/>
    <d v="1899-12-30T19:17:00"/>
    <d v="1899-12-30T19:53:00"/>
    <d v="1899-12-30T00:36:00"/>
    <n v="36"/>
    <s v="5817 Red Wolf Lane"/>
    <m/>
    <x v="2"/>
    <x v="0"/>
    <x v="0"/>
    <s v="No"/>
  </r>
  <r>
    <n v="114"/>
    <x v="18"/>
    <s v="Sunday"/>
    <s v="Different"/>
    <n v="33.020000000000003"/>
    <n v="6"/>
    <n v="0.18170805572380375"/>
    <n v="5"/>
    <d v="1899-12-30T17:26:00"/>
    <d v="1899-12-30T17:55:00"/>
    <d v="1899-12-30T00:29:00"/>
    <n v="29.000000000000004"/>
    <s v="4057 Chevy Chase Lane"/>
    <m/>
    <x v="0"/>
    <x v="0"/>
    <x v="0"/>
    <s v="No"/>
  </r>
  <r>
    <n v="115"/>
    <x v="18"/>
    <s v="Sunday"/>
    <s v="Same"/>
    <n v="35.18"/>
    <n v="5"/>
    <n v="0.14212620807276863"/>
    <n v="1.5"/>
    <d v="1899-12-30T18:14:00"/>
    <d v="1899-12-30T18:45:00"/>
    <d v="1899-12-30T00:31:00"/>
    <n v="31.000000000000004"/>
    <s v="3878 Cortona Lane"/>
    <m/>
    <x v="0"/>
    <x v="0"/>
    <x v="0"/>
    <s v="No"/>
  </r>
  <r>
    <n v="116"/>
    <x v="18"/>
    <s v="Sunday"/>
    <s v="Same"/>
    <n v="34.64"/>
    <n v="4"/>
    <n v="0.11547344110854503"/>
    <n v="1.5"/>
    <d v="1899-12-30T18:18:00"/>
    <d v="1899-12-30T18:50:00"/>
    <d v="1899-12-30T00:32:00"/>
    <n v="32"/>
    <s v="6848 Regello Drive"/>
    <m/>
    <x v="0"/>
    <x v="0"/>
    <x v="0"/>
    <s v="No"/>
  </r>
  <r>
    <n v="117"/>
    <x v="18"/>
    <s v="Sunday"/>
    <s v="Same"/>
    <n v="60.02"/>
    <n v="6"/>
    <n v="9.9966677774075308E-2"/>
    <n v="1.5"/>
    <d v="1899-12-30T18:15:00"/>
    <d v="1899-12-30T19:07:00"/>
    <d v="1899-12-30T00:52:00"/>
    <n v="52"/>
    <s v="5250 Town and Country Blvd"/>
    <n v="2104"/>
    <x v="0"/>
    <x v="0"/>
    <x v="1"/>
    <s v="No"/>
  </r>
  <r>
    <n v="118"/>
    <x v="18"/>
    <s v="Sunday"/>
    <s v="Same"/>
    <n v="47.31"/>
    <n v="10"/>
    <n v="0.21137180300147959"/>
    <n v="1.5"/>
    <d v="1899-12-30T19:15:00"/>
    <d v="1899-12-30T19:37:00"/>
    <d v="1899-12-30T00:22:00"/>
    <n v="22"/>
    <s v="7014 Fieldstone Drive"/>
    <m/>
    <x v="0"/>
    <x v="0"/>
    <x v="0"/>
    <s v="No"/>
  </r>
  <r>
    <n v="119"/>
    <x v="18"/>
    <s v="Sunday"/>
    <s v="Same"/>
    <n v="17"/>
    <n v="3"/>
    <n v="0.17647058823529413"/>
    <n v="1.5"/>
    <d v="1899-12-30T20:03:00"/>
    <d v="1899-12-30T20:39:00"/>
    <d v="1899-12-30T00:36:00"/>
    <n v="36"/>
    <s v="5675 Lake District Drive"/>
    <n v="212"/>
    <x v="3"/>
    <x v="0"/>
    <x v="1"/>
    <s v="No"/>
  </r>
  <r>
    <n v="120"/>
    <x v="18"/>
    <s v="Sunday"/>
    <s v="Same"/>
    <n v="16.239999999999998"/>
    <n v="0.76"/>
    <n v="4.6798029556650252E-2"/>
    <n v="1.5"/>
    <d v="1899-12-30T20:37:00"/>
    <d v="1899-12-30T21:13:00"/>
    <d v="1899-12-30T00:36:00"/>
    <n v="36"/>
    <s v="4692 Amanda Court"/>
    <m/>
    <x v="2"/>
    <x v="0"/>
    <x v="0"/>
    <s v="No"/>
  </r>
  <r>
    <n v="121"/>
    <x v="18"/>
    <s v="Sunday"/>
    <s v="Same"/>
    <n v="33.72"/>
    <n v="6.28"/>
    <n v="0.18623962040332148"/>
    <n v="1.5"/>
    <d v="1899-12-30T20:55:00"/>
    <d v="1899-12-30T21:35:00"/>
    <d v="1899-12-30T00:40:00"/>
    <n v="40"/>
    <s v="6401 Riverside Drive"/>
    <m/>
    <x v="2"/>
    <x v="0"/>
    <x v="0"/>
    <s v="No"/>
  </r>
  <r>
    <n v="122"/>
    <x v="19"/>
    <s v="Monday"/>
    <s v="Different"/>
    <n v="20.78"/>
    <n v="4.22"/>
    <n v="0.20307988450433107"/>
    <n v="5"/>
    <d v="1899-12-30T17:16:00"/>
    <d v="1899-12-30T17:48:00"/>
    <d v="1899-12-30T00:32:00"/>
    <n v="32"/>
    <s v="6635 Stallion Ranch Road"/>
    <m/>
    <x v="0"/>
    <x v="0"/>
    <x v="0"/>
    <s v="No"/>
  </r>
  <r>
    <n v="123"/>
    <x v="19"/>
    <s v="Monday"/>
    <s v="Same"/>
    <n v="35.130000000000003"/>
    <n v="7"/>
    <n v="0.19925989183034443"/>
    <n v="1.5"/>
    <d v="1899-12-30T17:22:00"/>
    <d v="1899-12-30T18:01:00"/>
    <d v="1899-12-30T00:39:00"/>
    <n v="39"/>
    <s v="5753 Foard Drive"/>
    <m/>
    <x v="0"/>
    <x v="0"/>
    <x v="0"/>
    <s v="No"/>
  </r>
  <r>
    <n v="124"/>
    <x v="19"/>
    <s v="Monday"/>
    <s v="Same"/>
    <n v="24.9"/>
    <n v="5"/>
    <n v="0.20080321285140562"/>
    <n v="1.5"/>
    <d v="1899-12-30T18:29:00"/>
    <d v="1899-12-30T18:51:00"/>
    <d v="1899-12-30T00:22:00"/>
    <n v="22"/>
    <s v="4909 Plantation Drive"/>
    <m/>
    <x v="0"/>
    <x v="0"/>
    <x v="0"/>
    <s v="No"/>
  </r>
  <r>
    <n v="125"/>
    <x v="19"/>
    <s v="Monday"/>
    <s v="Same"/>
    <n v="31.01"/>
    <n v="1.99"/>
    <n v="6.417284746855853E-2"/>
    <n v="1.5"/>
    <d v="1899-12-30T18:52:00"/>
    <d v="1899-12-30T19:20:00"/>
    <d v="1899-12-30T00:28:00"/>
    <n v="28"/>
    <s v="8134 Vistaview Place"/>
    <m/>
    <x v="0"/>
    <x v="0"/>
    <x v="0"/>
    <s v="No"/>
  </r>
  <r>
    <n v="126"/>
    <x v="19"/>
    <s v="Monday"/>
    <s v="Same"/>
    <n v="122.27"/>
    <n v="20"/>
    <n v="0.16357242168970312"/>
    <n v="1.5"/>
    <d v="1899-12-30T19:22:00"/>
    <d v="1899-12-30T19:54:00"/>
    <d v="1899-12-30T00:32:00"/>
    <n v="32"/>
    <s v="5800 Eastman Drive"/>
    <m/>
    <x v="2"/>
    <x v="0"/>
    <x v="0"/>
    <s v="No"/>
  </r>
  <r>
    <n v="127"/>
    <x v="19"/>
    <s v="Monday"/>
    <s v="Same"/>
    <n v="25.98"/>
    <n v="9"/>
    <n v="0.3464203233256351"/>
    <n v="1.5"/>
    <d v="1899-12-30T20:21:00"/>
    <d v="1899-12-30T20:52:00"/>
    <d v="1899-12-30T00:31:00"/>
    <n v="31.000000000000004"/>
    <s v="3240 Parkwood Blvd"/>
    <n v="344"/>
    <x v="0"/>
    <x v="0"/>
    <x v="2"/>
    <s v="No"/>
  </r>
  <r>
    <n v="128"/>
    <x v="19"/>
    <s v="Monday"/>
    <s v="Same"/>
    <n v="28.9"/>
    <n v="5"/>
    <n v="0.17301038062283738"/>
    <n v="1.5"/>
    <d v="1899-12-30T20:26:00"/>
    <d v="1899-12-30T20:58:00"/>
    <d v="1899-12-30T00:32:00"/>
    <n v="32"/>
    <s v="3240 Parkwood Blvd"/>
    <n v="331"/>
    <x v="0"/>
    <x v="0"/>
    <x v="2"/>
    <s v="No"/>
  </r>
  <r>
    <n v="129"/>
    <x v="19"/>
    <s v="Monday"/>
    <s v="Same"/>
    <n v="30.8"/>
    <n v="6"/>
    <n v="0.19480519480519481"/>
    <n v="1.5"/>
    <d v="1899-12-30T20:26:00"/>
    <d v="1899-12-30T21:10:00"/>
    <d v="1899-12-30T00:44:00"/>
    <n v="44"/>
    <s v="7943 Brookhollow Blvd"/>
    <m/>
    <x v="0"/>
    <x v="0"/>
    <x v="0"/>
    <s v="No"/>
  </r>
  <r>
    <n v="130"/>
    <x v="19"/>
    <s v="Monday"/>
    <s v="Same"/>
    <n v="35.18"/>
    <n v="6"/>
    <n v="0.17055144968732233"/>
    <n v="1.5"/>
    <d v="1899-12-30T21:52:00"/>
    <d v="1899-12-30T22:14:00"/>
    <d v="1899-12-30T00:22:00"/>
    <n v="22"/>
    <s v="5760 Daniel Road"/>
    <n v="7523"/>
    <x v="2"/>
    <x v="0"/>
    <x v="1"/>
    <s v="No"/>
  </r>
  <r>
    <n v="131"/>
    <x v="20"/>
    <s v="Wednesday"/>
    <s v="Different"/>
    <n v="18.89"/>
    <n v="4.1100000000000003"/>
    <n v="0.21757543673901536"/>
    <n v="1.5"/>
    <d v="1899-12-30T17:20:00"/>
    <d v="1899-12-30T17:46:00"/>
    <d v="1899-12-30T00:26:00"/>
    <n v="26"/>
    <s v="4689 Voyager Road"/>
    <m/>
    <x v="0"/>
    <x v="0"/>
    <x v="0"/>
    <s v="No"/>
  </r>
  <r>
    <n v="132"/>
    <x v="20"/>
    <s v="Wednesday"/>
    <s v="Same"/>
    <n v="52.18"/>
    <n v="5"/>
    <n v="9.5822154082023769E-2"/>
    <n v="1.5"/>
    <d v="1899-12-30T17:54:00"/>
    <d v="1899-12-30T18:37:00"/>
    <d v="1899-12-30T00:43:00"/>
    <n v="43"/>
    <s v="4607 Haverford Drive"/>
    <m/>
    <x v="0"/>
    <x v="0"/>
    <x v="0"/>
    <s v="No"/>
  </r>
  <r>
    <n v="133"/>
    <x v="20"/>
    <s v="Wednesday"/>
    <s v="Same"/>
    <n v="42.98"/>
    <n v="6"/>
    <n v="0.13959981386691486"/>
    <n v="1.5"/>
    <d v="1899-12-30T18:06:00"/>
    <d v="1899-12-30T18:42:00"/>
    <d v="1899-12-30T00:36:00"/>
    <n v="36"/>
    <s v="5001 Apache Circle"/>
    <m/>
    <x v="0"/>
    <x v="0"/>
    <x v="0"/>
    <s v="No"/>
  </r>
  <r>
    <n v="134"/>
    <x v="20"/>
    <s v="Wednesday"/>
    <s v="Same"/>
    <n v="45.68"/>
    <n v="5"/>
    <n v="0.10945709281961472"/>
    <n v="1.5"/>
    <d v="1899-12-30T18:07:00"/>
    <d v="1899-12-30T18:51:00"/>
    <d v="1899-12-30T00:44:00"/>
    <n v="44"/>
    <s v="5286 Park Ridge Drive"/>
    <m/>
    <x v="0"/>
    <x v="0"/>
    <x v="0"/>
    <s v="No"/>
  </r>
  <r>
    <n v="135"/>
    <x v="20"/>
    <s v="Wednesday"/>
    <s v="Same"/>
    <n v="20.57"/>
    <n v="8"/>
    <n v="0.38891589693728729"/>
    <n v="5"/>
    <d v="1899-12-30T18:59:00"/>
    <d v="1899-12-30T19:35:00"/>
    <d v="1899-12-30T00:36:00"/>
    <n v="36"/>
    <s v="2850 Painted Lake Circle"/>
    <m/>
    <x v="4"/>
    <x v="0"/>
    <x v="0"/>
    <s v="No"/>
  </r>
  <r>
    <n v="136"/>
    <x v="20"/>
    <s v="Wednesday"/>
    <s v="Same"/>
    <n v="28.69"/>
    <n v="21.31"/>
    <n v="0.74276751481352377"/>
    <n v="1.5"/>
    <d v="1899-12-30T20:10:00"/>
    <d v="1899-12-30T20:30:00"/>
    <d v="1899-12-30T00:20:00"/>
    <n v="20"/>
    <s v="2356 Chelsea Drive"/>
    <m/>
    <x v="0"/>
    <x v="0"/>
    <x v="0"/>
    <s v="No"/>
  </r>
  <r>
    <n v="137"/>
    <x v="21"/>
    <s v="Friday"/>
    <s v="Different"/>
    <n v="58.46"/>
    <n v="10"/>
    <n v="0.17105713308244955"/>
    <n v="1.5"/>
    <d v="1899-12-30T17:06:00"/>
    <d v="1899-12-30T17:45:00"/>
    <d v="1899-12-30T00:39:00"/>
    <n v="39"/>
    <s v="3404 Lantz Circle"/>
    <m/>
    <x v="2"/>
    <x v="0"/>
    <x v="0"/>
    <s v="No"/>
  </r>
  <r>
    <n v="138"/>
    <x v="21"/>
    <s v="Friday"/>
    <s v="Same"/>
    <n v="44.06"/>
    <n v="7"/>
    <n v="0.15887426236949614"/>
    <n v="1.5"/>
    <d v="1899-12-30T17:17:00"/>
    <d v="1899-12-30T17:57:00"/>
    <d v="1899-12-30T00:40:00"/>
    <n v="40"/>
    <s v="4528 St James Drive"/>
    <m/>
    <x v="2"/>
    <x v="0"/>
    <x v="0"/>
    <s v="No"/>
  </r>
  <r>
    <n v="139"/>
    <x v="21"/>
    <s v="Friday"/>
    <s v="Same"/>
    <n v="43.73"/>
    <n v="10"/>
    <n v="0.22867596615595703"/>
    <n v="1.5"/>
    <d v="1899-12-30T18:21:00"/>
    <d v="1899-12-30T18:44:00"/>
    <d v="1899-12-30T00:23:00"/>
    <n v="23.000000000000004"/>
    <s v="10216 Cecile Drive"/>
    <m/>
    <x v="0"/>
    <x v="0"/>
    <x v="0"/>
    <s v="No"/>
  </r>
  <r>
    <n v="140"/>
    <x v="21"/>
    <s v="Friday"/>
    <s v="Same"/>
    <n v="56.83"/>
    <n v="10"/>
    <n v="0.17596339961288052"/>
    <n v="1.5"/>
    <d v="1899-12-30T19:07:00"/>
    <d v="1899-12-30T19:37:00"/>
    <d v="1899-12-30T00:30:00"/>
    <n v="30"/>
    <s v="4169 Squaw Creek"/>
    <m/>
    <x v="0"/>
    <x v="0"/>
    <x v="0"/>
    <s v="No"/>
  </r>
  <r>
    <n v="141"/>
    <x v="21"/>
    <s v="Friday"/>
    <s v="Same"/>
    <n v="22.41"/>
    <n v="10"/>
    <n v="0.44622936189201251"/>
    <n v="1.5"/>
    <d v="1899-12-30T20:02:00"/>
    <d v="1899-12-30T20:28:00"/>
    <d v="1899-12-30T00:26:00"/>
    <n v="26"/>
    <s v="5805 Granite Parkway"/>
    <n v="620"/>
    <x v="2"/>
    <x v="0"/>
    <x v="2"/>
    <s v="No"/>
  </r>
  <r>
    <n v="142"/>
    <x v="21"/>
    <s v="Friday"/>
    <s v="Same"/>
    <n v="37.020000000000003"/>
    <n v="8"/>
    <n v="0.21609940572663425"/>
    <n v="5"/>
    <d v="1899-12-30T20:45:00"/>
    <d v="1899-12-30T20:45:00"/>
    <d v="1899-12-30T00:00:00"/>
    <n v="0"/>
    <s v="8112 Fleetwood Drive"/>
    <m/>
    <x v="2"/>
    <x v="0"/>
    <x v="0"/>
    <s v="Yes"/>
  </r>
  <r>
    <n v="143"/>
    <x v="22"/>
    <s v="Saturday"/>
    <s v="Different"/>
    <n v="27.06"/>
    <n v="4"/>
    <n v="0.14781966001478197"/>
    <n v="1.5"/>
    <d v="1899-12-30T16:59:00"/>
    <d v="1899-12-30T17:36:00"/>
    <d v="1899-12-30T00:37:00"/>
    <n v="37"/>
    <s v="8275 Stonebrook Parkway"/>
    <n v="2311"/>
    <x v="0"/>
    <x v="0"/>
    <x v="1"/>
    <s v="No"/>
  </r>
  <r>
    <n v="144"/>
    <x v="22"/>
    <s v="Saturday"/>
    <s v="Same"/>
    <n v="17.59"/>
    <n v="5"/>
    <n v="0.28425241614553726"/>
    <n v="1.5"/>
    <d v="1899-12-30T17:10:00"/>
    <d v="1899-12-30T17:50:00"/>
    <d v="1899-12-30T00:40:00"/>
    <n v="40"/>
    <s v="7366 Texas Rangers Drive"/>
    <n v="3206"/>
    <x v="0"/>
    <x v="0"/>
    <x v="1"/>
    <s v="No"/>
  </r>
  <r>
    <n v="145"/>
    <x v="22"/>
    <s v="Saturday"/>
    <s v="Same"/>
    <n v="38.1"/>
    <n v="5"/>
    <n v="0.13123359580052493"/>
    <n v="1.5"/>
    <d v="1899-12-30T17:49:00"/>
    <d v="1899-12-30T18:20:00"/>
    <d v="1899-12-30T00:31:00"/>
    <n v="31.000000000000004"/>
    <s v="3008 Buena Vista Drive"/>
    <m/>
    <x v="2"/>
    <x v="0"/>
    <x v="0"/>
    <s v="No"/>
  </r>
  <r>
    <n v="146"/>
    <x v="22"/>
    <s v="Saturday"/>
    <s v="Same"/>
    <n v="38.700000000000003"/>
    <n v="4"/>
    <n v="0.10335917312661498"/>
    <n v="1.5"/>
    <d v="1899-12-30T18:30:00"/>
    <d v="1899-12-30T19:05:00"/>
    <d v="1899-12-30T00:35:00"/>
    <n v="35"/>
    <s v="6817 Dupont Drive"/>
    <m/>
    <x v="2"/>
    <x v="0"/>
    <x v="0"/>
    <s v="No"/>
  </r>
  <r>
    <n v="147"/>
    <x v="22"/>
    <s v="Saturday"/>
    <s v="Same"/>
    <n v="46.22"/>
    <n v="3.78"/>
    <n v="8.1782778018173949E-2"/>
    <n v="1.5"/>
    <d v="1899-12-30T19:25:00"/>
    <d v="1899-12-30T20:02:00"/>
    <d v="1899-12-30T00:37:00"/>
    <n v="37"/>
    <s v="5505 Big River Drive"/>
    <m/>
    <x v="3"/>
    <x v="0"/>
    <x v="0"/>
    <s v="No"/>
  </r>
  <r>
    <n v="148"/>
    <x v="22"/>
    <s v="Saturday"/>
    <s v="Same"/>
    <n v="67.010000000000005"/>
    <n v="12.99"/>
    <n v="0.19385166393075659"/>
    <n v="1.5"/>
    <d v="1899-12-30T19:34:00"/>
    <d v="1899-12-30T20:21:00"/>
    <d v="1899-12-30T00:47:00"/>
    <n v="47.000000000000007"/>
    <s v="4 Innisbrook Court"/>
    <m/>
    <x v="0"/>
    <x v="1"/>
    <x v="0"/>
    <s v="No"/>
  </r>
  <r>
    <n v="149"/>
    <x v="22"/>
    <s v="Saturday"/>
    <s v="Same"/>
    <n v="22.41"/>
    <n v="7.59"/>
    <n v="0.33868808567603748"/>
    <n v="1.5"/>
    <d v="1899-12-30T20:26:00"/>
    <d v="1899-12-30T21:02:00"/>
    <d v="1899-12-30T00:36:00"/>
    <n v="36"/>
    <s v="2728 Montreus Drive"/>
    <m/>
    <x v="0"/>
    <x v="3"/>
    <x v="0"/>
    <s v="No"/>
  </r>
  <r>
    <n v="150"/>
    <x v="23"/>
    <s v="Sunday"/>
    <s v="Different"/>
    <n v="25.66"/>
    <n v="5.34"/>
    <n v="0.20810600155884645"/>
    <n v="1.5"/>
    <d v="1899-12-30T17:09:00"/>
    <d v="1899-12-30T17:40:00"/>
    <d v="1899-12-30T00:31:00"/>
    <n v="31.000000000000004"/>
    <s v="5716 Martin Road"/>
    <n v="2324"/>
    <x v="2"/>
    <x v="0"/>
    <x v="1"/>
    <s v="No"/>
  </r>
  <r>
    <n v="151"/>
    <x v="23"/>
    <s v="Sunday"/>
    <s v="Same"/>
    <n v="36.97"/>
    <n v="1.5"/>
    <n v="4.0573437922639982E-2"/>
    <n v="1.5"/>
    <d v="1899-12-30T17:55:00"/>
    <d v="1899-12-30T18:20:00"/>
    <d v="1899-12-30T00:25:00"/>
    <n v="25"/>
    <s v="9300 Katrina Path"/>
    <m/>
    <x v="2"/>
    <x v="0"/>
    <x v="0"/>
    <s v="No"/>
  </r>
  <r>
    <n v="152"/>
    <x v="23"/>
    <s v="Sunday"/>
    <s v="Same"/>
    <n v="18.89"/>
    <n v="3.11"/>
    <n v="0.16463737427210162"/>
    <n v="1.5"/>
    <d v="1899-12-30T18:17:00"/>
    <d v="1899-12-30T18:57:00"/>
    <d v="1899-12-30T00:40:00"/>
    <n v="40"/>
    <s v="9425 Rolater Road"/>
    <n v="1323"/>
    <x v="0"/>
    <x v="0"/>
    <x v="1"/>
    <s v="No"/>
  </r>
  <r>
    <n v="153"/>
    <x v="23"/>
    <s v="Sunday"/>
    <s v="Same"/>
    <n v="20.78"/>
    <n v="5"/>
    <n v="0.2406159769008662"/>
    <n v="5"/>
    <d v="1899-12-30T18:45:00"/>
    <d v="1899-12-30T19:36:00"/>
    <d v="1899-12-30T00:51:00"/>
    <n v="51"/>
    <s v="6887 Valley Brook Drive"/>
    <m/>
    <x v="0"/>
    <x v="0"/>
    <x v="0"/>
    <s v="No"/>
  </r>
  <r>
    <n v="154"/>
    <x v="23"/>
    <s v="Sunday"/>
    <s v="Same"/>
    <n v="42.59"/>
    <n v="8"/>
    <n v="0.1878375205447288"/>
    <n v="7"/>
    <d v="1899-12-30T18:59:00"/>
    <d v="1899-12-30T19:46:00"/>
    <d v="1899-12-30T00:47:00"/>
    <n v="47.000000000000007"/>
    <s v="10150 Big Horn Trail"/>
    <m/>
    <x v="0"/>
    <x v="0"/>
    <x v="0"/>
    <s v="No"/>
  </r>
  <r>
    <n v="155"/>
    <x v="23"/>
    <s v="Sunday"/>
    <s v="Same"/>
    <n v="17.32"/>
    <n v="5"/>
    <n v="0.28868360277136257"/>
    <n v="1.5"/>
    <d v="1899-12-30T19:45:00"/>
    <d v="1899-12-30T20:28:00"/>
    <d v="1899-12-30T00:43:00"/>
    <n v="43"/>
    <s v="7200 Preston Road"/>
    <n v="1734"/>
    <x v="2"/>
    <x v="0"/>
    <x v="1"/>
    <s v="No"/>
  </r>
  <r>
    <n v="156"/>
    <x v="23"/>
    <s v="Sunday"/>
    <s v="Same"/>
    <n v="22.95"/>
    <n v="5.05"/>
    <n v="0.22004357298474944"/>
    <n v="1.5"/>
    <d v="1899-12-30T20:15:00"/>
    <d v="1899-12-30T20:57:00"/>
    <d v="1899-12-30T00:42:00"/>
    <n v="42"/>
    <s v="8404 Warren Parkway"/>
    <n v="1313"/>
    <x v="0"/>
    <x v="0"/>
    <x v="1"/>
    <s v="No"/>
  </r>
  <r>
    <n v="157"/>
    <x v="23"/>
    <s v="Sunday"/>
    <s v="Same"/>
    <n v="63.59"/>
    <n v="2.41"/>
    <n v="3.7899040729674476E-2"/>
    <n v="7"/>
    <d v="1899-12-30T20:47:00"/>
    <d v="1899-12-30T21:40:00"/>
    <d v="1899-12-30T00:53:00"/>
    <n v="53"/>
    <s v="12972 Railhead Court"/>
    <m/>
    <x v="0"/>
    <x v="0"/>
    <x v="0"/>
    <s v="No"/>
  </r>
  <r>
    <n v="158"/>
    <x v="24"/>
    <s v="Friday"/>
    <s v="Different"/>
    <n v="18.399999999999999"/>
    <n v="3"/>
    <n v="0.16304347826086957"/>
    <n v="1.5"/>
    <d v="1899-12-30T17:11:00"/>
    <d v="1899-12-30T17:27:00"/>
    <d v="1899-12-30T00:16:00"/>
    <n v="16"/>
    <s v="5780 Robbie Road"/>
    <m/>
    <x v="2"/>
    <x v="0"/>
    <x v="0"/>
    <s v="No"/>
  </r>
  <r>
    <n v="159"/>
    <x v="24"/>
    <s v="Friday"/>
    <s v="Same"/>
    <n v="46.44"/>
    <n v="6"/>
    <n v="0.12919896640826875"/>
    <n v="1.5"/>
    <d v="1899-12-30T17:27:00"/>
    <d v="1899-12-30T17:59:00"/>
    <d v="1899-12-30T00:32:00"/>
    <n v="32"/>
    <s v="3950 Guinn Gate Drive"/>
    <m/>
    <x v="0"/>
    <x v="0"/>
    <x v="0"/>
    <s v="No"/>
  </r>
  <r>
    <n v="160"/>
    <x v="24"/>
    <s v="Friday"/>
    <s v="Same"/>
    <n v="36.26"/>
    <n v="5"/>
    <n v="0.13789299503585217"/>
    <n v="1.5"/>
    <d v="1899-12-30T18:21:00"/>
    <d v="1899-12-30T18:39:00"/>
    <d v="1899-12-30T00:18:00"/>
    <n v="18"/>
    <s v="4553 Turnberry Court"/>
    <m/>
    <x v="2"/>
    <x v="0"/>
    <x v="0"/>
    <s v="No"/>
  </r>
  <r>
    <n v="161"/>
    <x v="24"/>
    <s v="Friday"/>
    <s v="Same"/>
    <n v="29.66"/>
    <n v="8"/>
    <n v="0.26972353337828725"/>
    <n v="5"/>
    <d v="1899-12-30T18:48:00"/>
    <d v="1899-12-30T19:32:00"/>
    <d v="1899-12-30T00:44:00"/>
    <n v="44"/>
    <s v="2122 Spindletop Trail"/>
    <m/>
    <x v="0"/>
    <x v="0"/>
    <x v="0"/>
    <s v="No"/>
  </r>
  <r>
    <n v="162"/>
    <x v="24"/>
    <s v="Friday"/>
    <s v="Same"/>
    <n v="86.49"/>
    <n v="16"/>
    <n v="0.18499248468030988"/>
    <n v="1.5"/>
    <d v="1899-12-30T19:03:00"/>
    <d v="1899-12-30T19:49:00"/>
    <d v="1899-12-30T00:46:00"/>
    <n v="46.000000000000007"/>
    <s v="5318 Cattail Court"/>
    <m/>
    <x v="0"/>
    <x v="2"/>
    <x v="0"/>
    <s v="No"/>
  </r>
  <r>
    <n v="163"/>
    <x v="24"/>
    <s v="Friday"/>
    <s v="Same"/>
    <n v="14.61"/>
    <n v="3"/>
    <n v="0.20533880903490762"/>
    <n v="1.5"/>
    <d v="1899-12-30T19:37:00"/>
    <d v="1899-12-30T20:22:00"/>
    <d v="1899-12-30T00:45:00"/>
    <n v="45"/>
    <s v="5821 Red Wolf Lane"/>
    <m/>
    <x v="2"/>
    <x v="0"/>
    <x v="0"/>
    <s v="No"/>
  </r>
  <r>
    <n v="164"/>
    <x v="24"/>
    <s v="Friday"/>
    <s v="Same"/>
    <n v="63.18"/>
    <n v="10"/>
    <n v="0.15827793605571383"/>
    <n v="7"/>
    <d v="1899-12-30T19:37:00"/>
    <d v="1899-12-30T20:38:00"/>
    <d v="1899-12-30T01:01:00"/>
    <n v="61"/>
    <s v="2517 Erec Drive"/>
    <m/>
    <x v="3"/>
    <x v="0"/>
    <x v="0"/>
    <s v="No"/>
  </r>
  <r>
    <n v="165"/>
    <x v="24"/>
    <s v="Friday"/>
    <s v="Same"/>
    <n v="51.58"/>
    <n v="6"/>
    <n v="0.1163241566498643"/>
    <n v="1.5"/>
    <d v="1899-12-30T21:10:00"/>
    <d v="1899-12-30T21:32:00"/>
    <d v="1899-12-30T00:22:00"/>
    <n v="22"/>
    <s v="5765 Bozeman Drive"/>
    <n v="3219"/>
    <x v="2"/>
    <x v="0"/>
    <x v="1"/>
    <s v="No"/>
  </r>
  <r>
    <n v="166"/>
    <x v="25"/>
    <s v="Saturday"/>
    <s v="Different"/>
    <n v="36.21"/>
    <n v="3"/>
    <n v="8.2850041425020712E-2"/>
    <n v="5"/>
    <d v="1899-12-30T17:30:00"/>
    <d v="1899-12-30T17:33:00"/>
    <d v="1899-12-30T00:03:00"/>
    <n v="3"/>
    <s v="6300 FM 423"/>
    <n v="2108"/>
    <x v="0"/>
    <x v="0"/>
    <x v="1"/>
    <s v="Yes"/>
  </r>
  <r>
    <n v="167"/>
    <x v="25"/>
    <s v="Saturday"/>
    <s v="Same"/>
    <n v="31.07"/>
    <n v="6.8"/>
    <n v="0.21886063727067911"/>
    <n v="1.5"/>
    <d v="1899-12-30T17:09:00"/>
    <d v="1899-12-30T17:55:00"/>
    <d v="1899-12-30T00:46:00"/>
    <n v="46.000000000000007"/>
    <s v="5582 Buena Vista Drive"/>
    <m/>
    <x v="0"/>
    <x v="2"/>
    <x v="0"/>
    <s v="No"/>
  </r>
  <r>
    <n v="168"/>
    <x v="25"/>
    <s v="Saturday"/>
    <s v="Same"/>
    <n v="22.68"/>
    <n v="4"/>
    <n v="0.17636684303350969"/>
    <n v="1.5"/>
    <d v="1899-12-30T18:18:00"/>
    <d v="1899-12-30T18:37:00"/>
    <d v="1899-12-30T00:19:00"/>
    <n v="19"/>
    <s v="4676 Adrian Way"/>
    <m/>
    <x v="2"/>
    <x v="0"/>
    <x v="0"/>
    <s v="No"/>
  </r>
  <r>
    <n v="169"/>
    <x v="25"/>
    <s v="Saturday"/>
    <s v="Same"/>
    <n v="35.130000000000003"/>
    <n v="5.87"/>
    <n v="0.16709365214916025"/>
    <n v="1.5"/>
    <d v="1899-12-30T18:29:00"/>
    <d v="1899-12-30T19:03:00"/>
    <d v="1899-12-30T00:34:00"/>
    <n v="34"/>
    <s v="5151 Burkett Drive"/>
    <m/>
    <x v="0"/>
    <x v="2"/>
    <x v="0"/>
    <s v="No"/>
  </r>
  <r>
    <n v="170"/>
    <x v="25"/>
    <s v="Saturday"/>
    <s v="Same"/>
    <n v="16.510000000000002"/>
    <n v="3.49"/>
    <n v="0.2113870381586917"/>
    <n v="1.5"/>
    <d v="1899-12-30T19:38:00"/>
    <d v="1899-12-30T20:01:00"/>
    <d v="1899-12-30T00:23:00"/>
    <n v="23.000000000000004"/>
    <s v="4460 Shamrock Drive"/>
    <m/>
    <x v="0"/>
    <x v="0"/>
    <x v="0"/>
    <s v="No"/>
  </r>
  <r>
    <n v="171"/>
    <x v="25"/>
    <s v="Saturday"/>
    <s v="Same"/>
    <n v="84.22"/>
    <n v="10"/>
    <n v="0.11873664212776062"/>
    <n v="1.5"/>
    <d v="1899-12-30T20:16:00"/>
    <d v="1899-12-30T20:46:00"/>
    <d v="1899-12-30T00:30:00"/>
    <n v="30"/>
    <s v="4544 Lancelot Drive"/>
    <m/>
    <x v="2"/>
    <x v="0"/>
    <x v="0"/>
    <s v="No"/>
  </r>
  <r>
    <n v="172"/>
    <x v="25"/>
    <s v="Saturday"/>
    <s v="Same"/>
    <n v="63.76"/>
    <n v="3"/>
    <n v="4.7051442910915939E-2"/>
    <n v="1.5"/>
    <d v="1899-12-30T20:50:00"/>
    <d v="1899-12-30T21:17:00"/>
    <d v="1899-12-30T00:27:00"/>
    <n v="26.999999999999996"/>
    <s v="68 Secluded Pond Drive"/>
    <m/>
    <x v="0"/>
    <x v="0"/>
    <x v="0"/>
    <s v="No"/>
  </r>
  <r>
    <n v="173"/>
    <x v="26"/>
    <s v="Sunday"/>
    <s v="Different"/>
    <n v="36.159999999999997"/>
    <n v="8"/>
    <n v="0.22123893805309736"/>
    <n v="7"/>
    <d v="1899-12-30T16:49:00"/>
    <d v="1899-12-30T17:25:00"/>
    <d v="1899-12-30T00:36:00"/>
    <n v="36"/>
    <s v="2329 Langdon Drive"/>
    <m/>
    <x v="0"/>
    <x v="0"/>
    <x v="0"/>
    <s v="No"/>
  </r>
  <r>
    <n v="174"/>
    <x v="26"/>
    <s v="Sunday"/>
    <s v="Same"/>
    <n v="34.86"/>
    <n v="5.14"/>
    <n v="0.14744693057946071"/>
    <n v="1.5"/>
    <d v="1899-12-30T17:53:00"/>
    <d v="1899-12-30T18:23:00"/>
    <d v="1899-12-30T00:30:00"/>
    <n v="30"/>
    <s v="2949 Parkwood Blvd"/>
    <n v="229"/>
    <x v="0"/>
    <x v="0"/>
    <x v="1"/>
    <s v="No"/>
  </r>
  <r>
    <n v="175"/>
    <x v="26"/>
    <s v="Sunday"/>
    <s v="Same"/>
    <n v="32.42"/>
    <n v="2"/>
    <n v="6.1690314620604564E-2"/>
    <n v="1.5"/>
    <d v="1899-12-30T17:58:00"/>
    <d v="1899-12-30T18:46:00"/>
    <d v="1899-12-30T00:48:00"/>
    <n v="48"/>
    <s v="409 Rosehill Lane"/>
    <n v="409"/>
    <x v="0"/>
    <x v="0"/>
    <x v="1"/>
    <s v="No"/>
  </r>
  <r>
    <n v="176"/>
    <x v="26"/>
    <s v="Sunday"/>
    <s v="Same"/>
    <n v="44.38"/>
    <n v="8"/>
    <n v="0.18026137899954933"/>
    <n v="1.5"/>
    <d v="1899-12-30T18:01:00"/>
    <d v="1899-12-30T18:32:00"/>
    <d v="1899-12-30T00:31:00"/>
    <n v="31.000000000000004"/>
    <s v="7550 Gaylord Parkway"/>
    <n v="423"/>
    <x v="0"/>
    <x v="0"/>
    <x v="2"/>
    <s v="No"/>
  </r>
  <r>
    <n v="177"/>
    <x v="26"/>
    <s v="Sunday"/>
    <s v="Same"/>
    <n v="37.08"/>
    <n v="4"/>
    <n v="0.10787486515641856"/>
    <n v="1.5"/>
    <d v="1899-12-30T18:39:00"/>
    <d v="1899-12-30T19:20:00"/>
    <d v="1899-12-30T00:41:00"/>
    <n v="41"/>
    <s v="6737 Pecan Chase Lane"/>
    <m/>
    <x v="0"/>
    <x v="0"/>
    <x v="0"/>
    <s v="No"/>
  </r>
  <r>
    <n v="178"/>
    <x v="26"/>
    <s v="Sunday"/>
    <s v="Same"/>
    <n v="33.5"/>
    <n v="4"/>
    <n v="0.11940298507462686"/>
    <n v="1.5"/>
    <d v="1899-12-30T18:56:00"/>
    <d v="1899-12-30T19:29:00"/>
    <d v="1899-12-30T00:33:00"/>
    <n v="33"/>
    <s v="6848 Regello Drive"/>
    <m/>
    <x v="0"/>
    <x v="0"/>
    <x v="0"/>
    <s v="No"/>
  </r>
  <r>
    <n v="179"/>
    <x v="26"/>
    <s v="Sunday"/>
    <s v="Same"/>
    <n v="44.33"/>
    <n v="5.67"/>
    <n v="0.12790435371080533"/>
    <n v="1.5"/>
    <d v="1899-12-30T19:30:00"/>
    <d v="1899-12-30T20:06:00"/>
    <d v="1899-12-30T00:36:00"/>
    <n v="36"/>
    <s v="3198 Parkwood Blvd"/>
    <n v="21070"/>
    <x v="0"/>
    <x v="0"/>
    <x v="1"/>
    <s v="No"/>
  </r>
  <r>
    <n v="180"/>
    <x v="26"/>
    <s v="Sunday"/>
    <s v="Same"/>
    <n v="22.41"/>
    <n v="1.59"/>
    <n v="7.0950468540829995E-2"/>
    <n v="1.5"/>
    <d v="1899-12-30T20:39:00"/>
    <d v="1899-12-30T21:06:00"/>
    <d v="1899-12-30T00:27:00"/>
    <n v="26.999999999999996"/>
    <s v="7645 Junegrass Lane"/>
    <m/>
    <x v="0"/>
    <x v="0"/>
    <x v="0"/>
    <s v="No"/>
  </r>
  <r>
    <n v="181"/>
    <x v="26"/>
    <s v="Sunday"/>
    <s v="Same"/>
    <n v="26.2"/>
    <n v="5"/>
    <n v="0.19083969465648856"/>
    <n v="1.5"/>
    <d v="1899-12-30T21:22:00"/>
    <d v="1899-12-30T21:41:00"/>
    <d v="1899-12-30T00:19:00"/>
    <n v="19"/>
    <s v="7840 Clara Drive"/>
    <n v="5329"/>
    <x v="2"/>
    <x v="0"/>
    <x v="1"/>
    <s v="No"/>
  </r>
  <r>
    <n v="182"/>
    <x v="27"/>
    <s v="Friday"/>
    <s v="Different"/>
    <n v="31.39"/>
    <n v="5"/>
    <n v="0.15928639694170119"/>
    <n v="1.5"/>
    <d v="1899-12-30T16:56:00"/>
    <d v="1899-12-30T17:34:00"/>
    <d v="1899-12-30T00:38:00"/>
    <n v="38"/>
    <s v="7001 Parkwood Blvd"/>
    <n v="2103"/>
    <x v="2"/>
    <x v="0"/>
    <x v="1"/>
    <s v="No"/>
  </r>
  <r>
    <n v="183"/>
    <x v="27"/>
    <s v="Friday"/>
    <s v="Same"/>
    <n v="39.51"/>
    <n v="4"/>
    <n v="0.10124019235636549"/>
    <n v="1.5"/>
    <d v="1899-12-30T17:08:00"/>
    <d v="1899-12-30T17:45:00"/>
    <d v="1899-12-30T00:37:00"/>
    <n v="37"/>
    <s v="4612 Reunion Drive"/>
    <m/>
    <x v="2"/>
    <x v="0"/>
    <x v="0"/>
    <s v="No"/>
  </r>
  <r>
    <n v="184"/>
    <x v="27"/>
    <s v="Friday"/>
    <s v="Same"/>
    <n v="37.020000000000003"/>
    <n v="5"/>
    <n v="0.1350621285791464"/>
    <n v="1.5"/>
    <d v="1899-12-30T17:57:00"/>
    <d v="1899-12-30T18:26:00"/>
    <d v="1899-12-30T00:29:00"/>
    <n v="29.000000000000004"/>
    <s v="3301 Paradise Valley Drive"/>
    <m/>
    <x v="2"/>
    <x v="0"/>
    <x v="0"/>
    <s v="No"/>
  </r>
  <r>
    <n v="185"/>
    <x v="27"/>
    <s v="Friday"/>
    <s v="Same"/>
    <n v="134.72"/>
    <n v="20"/>
    <n v="0.14845605700712589"/>
    <n v="1.5"/>
    <d v="1899-12-30T18:45:00"/>
    <d v="1899-12-30T19:15:00"/>
    <d v="1899-12-30T00:30:00"/>
    <n v="30"/>
    <s v="5445 Legacy Drive"/>
    <n v="140"/>
    <x v="2"/>
    <x v="0"/>
    <x v="0"/>
    <s v="No"/>
  </r>
  <r>
    <n v="186"/>
    <x v="27"/>
    <s v="Friday"/>
    <s v="Same"/>
    <n v="22.68"/>
    <n v="4"/>
    <n v="0.17636684303350969"/>
    <n v="1.5"/>
    <d v="1899-12-30T18:50:00"/>
    <d v="1899-12-30T19:48:00"/>
    <d v="1899-12-30T00:58:00"/>
    <n v="58.000000000000007"/>
    <s v="5700 Scruggs Way"/>
    <n v="5230"/>
    <x v="2"/>
    <x v="0"/>
    <x v="1"/>
    <s v="No"/>
  </r>
  <r>
    <n v="187"/>
    <x v="27"/>
    <s v="Friday"/>
    <s v="Same"/>
    <n v="68.680000000000007"/>
    <n v="12"/>
    <n v="0.17472335468840999"/>
    <n v="5"/>
    <d v="1899-12-30T19:41:00"/>
    <d v="1899-12-30T20:18:00"/>
    <d v="1899-12-30T00:37:00"/>
    <n v="37"/>
    <s v="12150 Toscana Way"/>
    <m/>
    <x v="0"/>
    <x v="0"/>
    <x v="0"/>
    <s v="No"/>
  </r>
  <r>
    <n v="188"/>
    <x v="27"/>
    <s v="Friday"/>
    <s v="Same"/>
    <n v="27.82"/>
    <n v="5"/>
    <n v="0.17972681524083392"/>
    <n v="1.5"/>
    <d v="1899-12-30T20:43:00"/>
    <d v="1899-12-30T21:02:00"/>
    <d v="1899-12-30T00:19:00"/>
    <n v="19"/>
    <s v="7208 Olivia Lane"/>
    <m/>
    <x v="2"/>
    <x v="0"/>
    <x v="0"/>
    <s v="No"/>
  </r>
  <r>
    <n v="189"/>
    <x v="28"/>
    <s v="Saturday"/>
    <s v="Different"/>
    <n v="73.069999999999993"/>
    <n v="10"/>
    <n v="0.1368550704803613"/>
    <n v="1.5"/>
    <d v="1899-12-30T17:48:00"/>
    <d v="1899-12-30T18:19:00"/>
    <d v="1899-12-30T00:31:00"/>
    <n v="31.000000000000004"/>
    <s v="11405 Pagewyne Drive"/>
    <m/>
    <x v="0"/>
    <x v="0"/>
    <x v="0"/>
    <s v="No"/>
  </r>
  <r>
    <n v="190"/>
    <x v="28"/>
    <s v="Saturday"/>
    <s v="Same"/>
    <n v="80.430000000000007"/>
    <n v="14"/>
    <n v="0.17406440382941687"/>
    <n v="5"/>
    <d v="1899-12-30T17:47:00"/>
    <d v="1899-12-30T18:28:00"/>
    <d v="1899-12-30T00:41:00"/>
    <n v="41"/>
    <s v="15801 Waterview Drive"/>
    <m/>
    <x v="0"/>
    <x v="0"/>
    <x v="0"/>
    <s v="No"/>
  </r>
  <r>
    <n v="191"/>
    <x v="28"/>
    <s v="Saturday"/>
    <s v="Same"/>
    <n v="86.11"/>
    <n v="5"/>
    <n v="5.8065265358262688E-2"/>
    <n v="1.5"/>
    <d v="1899-12-30T19:45:00"/>
    <d v="1899-12-30T19:45:00"/>
    <d v="1899-12-30T00:00:00"/>
    <n v="0"/>
    <s v="4405 Newcastle Drive"/>
    <m/>
    <x v="0"/>
    <x v="0"/>
    <x v="0"/>
    <s v="Yes"/>
  </r>
  <r>
    <n v="192"/>
    <x v="28"/>
    <s v="Saturday"/>
    <s v="Same"/>
    <n v="30.85"/>
    <n v="8"/>
    <n v="0.2593192868719611"/>
    <n v="1.5"/>
    <d v="1899-12-30T19:14:00"/>
    <d v="1899-12-30T19:50:00"/>
    <d v="1899-12-30T00:36:00"/>
    <n v="36"/>
    <s v="6008 Brookhill Lane"/>
    <m/>
    <x v="0"/>
    <x v="0"/>
    <x v="0"/>
    <s v="No"/>
  </r>
  <r>
    <n v="193"/>
    <x v="28"/>
    <s v="Saturday"/>
    <s v="Same"/>
    <n v="85.57"/>
    <n v="10"/>
    <n v="0.11686338670094661"/>
    <n v="1.5"/>
    <d v="1899-12-30T20:13:00"/>
    <d v="1899-12-30T20:50:00"/>
    <d v="1899-12-30T00:37:00"/>
    <n v="37"/>
    <s v="5125 Running Brook Drive"/>
    <m/>
    <x v="0"/>
    <x v="0"/>
    <x v="0"/>
    <s v="No"/>
  </r>
  <r>
    <n v="194"/>
    <x v="28"/>
    <s v="Saturday"/>
    <s v="Same"/>
    <n v="43.73"/>
    <n v="5"/>
    <n v="0.11433798307797852"/>
    <n v="1.5"/>
    <d v="1899-12-30T20:27:00"/>
    <d v="1899-12-30T21:03:00"/>
    <d v="1899-12-30T00:36:00"/>
    <n v="36"/>
    <s v="8011 Rimrock Circle"/>
    <m/>
    <x v="0"/>
    <x v="0"/>
    <x v="0"/>
    <s v="No"/>
  </r>
  <r>
    <n v="195"/>
    <x v="28"/>
    <s v="Saturday"/>
    <s v="Same"/>
    <n v="53.53"/>
    <n v="7"/>
    <n v="0.13076779376050812"/>
    <n v="1.5"/>
    <d v="1899-12-30T21:33:00"/>
    <d v="1899-12-30T21:59:00"/>
    <d v="1899-12-30T00:26:00"/>
    <n v="26"/>
    <s v="5716 Henry Cook Blvd"/>
    <n v="11328"/>
    <x v="2"/>
    <x v="0"/>
    <x v="1"/>
    <s v="No"/>
  </r>
  <r>
    <n v="196"/>
    <x v="29"/>
    <s v="Sunday"/>
    <s v="Different"/>
    <n v="37.89"/>
    <n v="5"/>
    <n v="0.13196093956188967"/>
    <n v="1.5"/>
    <d v="1899-12-30T16:37:00"/>
    <d v="1899-12-30T17:06:00"/>
    <d v="1899-12-30T00:29:00"/>
    <n v="29.000000000000004"/>
    <s v="4553 Turnberry Court"/>
    <m/>
    <x v="2"/>
    <x v="0"/>
    <x v="0"/>
    <s v="No"/>
  </r>
  <r>
    <n v="197"/>
    <x v="29"/>
    <s v="Sunday"/>
    <s v="Same"/>
    <n v="23.49"/>
    <n v="3"/>
    <n v="0.1277139208173691"/>
    <n v="1.5"/>
    <d v="1899-12-30T17:06:00"/>
    <d v="1899-12-30T17:37:00"/>
    <d v="1899-12-30T00:31:00"/>
    <n v="31.000000000000004"/>
    <s v="5469 Bay Meadows Drive"/>
    <m/>
    <x v="0"/>
    <x v="0"/>
    <x v="0"/>
    <s v="No"/>
  </r>
  <r>
    <n v="198"/>
    <x v="29"/>
    <s v="Sunday"/>
    <s v="Same"/>
    <n v="26.79"/>
    <n v="5"/>
    <n v="0.1866368047779022"/>
    <n v="1.5"/>
    <d v="1899-12-30T17:13:00"/>
    <d v="1899-12-30T18:04:00"/>
    <d v="1899-12-30T00:51:00"/>
    <n v="51"/>
    <s v="3198 Parkwood Blvd"/>
    <n v="14071"/>
    <x v="0"/>
    <x v="0"/>
    <x v="1"/>
    <s v="No"/>
  </r>
  <r>
    <n v="199"/>
    <x v="29"/>
    <s v="Sunday"/>
    <s v="Same"/>
    <n v="33.56"/>
    <n v="3"/>
    <n v="8.9392133492252682E-2"/>
    <n v="1.5"/>
    <d v="1899-12-30T18:25:00"/>
    <d v="1899-12-30T18:53:00"/>
    <d v="1899-12-30T00:28:00"/>
    <n v="28"/>
    <s v="409 Rosehill Lane"/>
    <n v="409"/>
    <x v="0"/>
    <x v="0"/>
    <x v="1"/>
    <s v="No"/>
  </r>
  <r>
    <n v="200"/>
    <x v="29"/>
    <s v="Sunday"/>
    <s v="Same"/>
    <n v="35.4"/>
    <n v="7"/>
    <n v="0.19774011299435029"/>
    <n v="1.5"/>
    <d v="1899-12-30T19:35:00"/>
    <d v="1899-12-30T20:01:00"/>
    <d v="1899-12-30T00:26:00"/>
    <n v="26"/>
    <s v="5745 Bozeman Drive"/>
    <n v="8271"/>
    <x v="2"/>
    <x v="0"/>
    <x v="1"/>
    <s v="No"/>
  </r>
  <r>
    <n v="201"/>
    <x v="29"/>
    <s v="Sunday"/>
    <s v="Same"/>
    <n v="22.41"/>
    <n v="2"/>
    <n v="8.9245872378402494E-2"/>
    <n v="1.5"/>
    <d v="1899-12-30T19:36:00"/>
    <d v="1899-12-30T20:16:00"/>
    <d v="1899-12-30T00:40:00"/>
    <n v="40"/>
    <s v="8524 Heather Ridge Drive"/>
    <m/>
    <x v="2"/>
    <x v="0"/>
    <x v="0"/>
    <s v="No"/>
  </r>
  <r>
    <n v="202"/>
    <x v="29"/>
    <s v="Sunday"/>
    <s v="Same"/>
    <n v="48.98"/>
    <n v="5"/>
    <n v="0.10208248264597795"/>
    <n v="1.5"/>
    <d v="1899-12-30T20:15:00"/>
    <d v="1899-12-30T20:46:00"/>
    <d v="1899-12-30T00:31:00"/>
    <n v="31.000000000000004"/>
    <s v="5286 Park Ridge Drive"/>
    <m/>
    <x v="0"/>
    <x v="0"/>
    <x v="0"/>
    <s v="No"/>
  </r>
  <r>
    <n v="203"/>
    <x v="30"/>
    <s v="Friday"/>
    <s v="Different"/>
    <n v="24.57"/>
    <n v="10"/>
    <n v="0.40700040700040702"/>
    <n v="1.5"/>
    <d v="1899-12-30T17:00:00"/>
    <d v="1899-12-30T17:29:00"/>
    <d v="1899-12-30T00:29:00"/>
    <n v="29.000000000000004"/>
    <s v="7801 Cherry Creek Drive"/>
    <m/>
    <x v="2"/>
    <x v="0"/>
    <x v="0"/>
    <s v="No"/>
  </r>
  <r>
    <n v="204"/>
    <x v="30"/>
    <s v="Friday"/>
    <s v="Same"/>
    <n v="38.92"/>
    <n v="4"/>
    <n v="0.10277492291880781"/>
    <n v="1.5"/>
    <d v="1899-12-30T18:25:00"/>
    <d v="1899-12-30T18:56:00"/>
    <d v="1899-12-30T00:31:00"/>
    <n v="31.000000000000004"/>
    <s v="6999 Siena Place"/>
    <n v="111"/>
    <x v="3"/>
    <x v="0"/>
    <x v="1"/>
    <s v="No"/>
  </r>
  <r>
    <n v="205"/>
    <x v="30"/>
    <s v="Friday"/>
    <s v="Same"/>
    <n v="34.26"/>
    <n v="10"/>
    <n v="0.29188558085230593"/>
    <n v="1.5"/>
    <d v="1899-12-30T19:11:00"/>
    <d v="1899-12-30T19:46:00"/>
    <d v="1899-12-30T00:35:00"/>
    <n v="35"/>
    <s v="5783 Versailles Avenue"/>
    <m/>
    <x v="0"/>
    <x v="3"/>
    <x v="0"/>
    <s v="No"/>
  </r>
  <r>
    <n v="206"/>
    <x v="30"/>
    <s v="Friday"/>
    <s v="Same"/>
    <n v="34.64"/>
    <n v="5"/>
    <n v="0.14434180138568128"/>
    <n v="1.5"/>
    <d v="1899-12-30T19:22:00"/>
    <d v="1899-12-30T19:59:00"/>
    <d v="1899-12-30T00:37:00"/>
    <n v="37"/>
    <s v="3166 Camden Bluff "/>
    <m/>
    <x v="0"/>
    <x v="0"/>
    <x v="0"/>
    <s v="No"/>
  </r>
  <r>
    <n v="207"/>
    <x v="30"/>
    <s v="Friday"/>
    <s v="Same"/>
    <n v="96.23"/>
    <n v="20"/>
    <n v="0.2078353943676608"/>
    <n v="5"/>
    <d v="1899-12-30T19:24:00"/>
    <d v="1899-12-30T20:13:00"/>
    <d v="1899-12-30T00:49:00"/>
    <n v="49"/>
    <s v="4159 Veneto Drive"/>
    <m/>
    <x v="0"/>
    <x v="0"/>
    <x v="0"/>
    <s v="No"/>
  </r>
  <r>
    <n v="208"/>
    <x v="30"/>
    <s v="Friday"/>
    <s v="Same"/>
    <n v="50.99"/>
    <n v="12"/>
    <n v="0.23534026279662679"/>
    <n v="1.5"/>
    <d v="1899-12-30T20:39:00"/>
    <d v="1899-12-30T21:06:00"/>
    <d v="1899-12-30T00:27:00"/>
    <n v="26.999999999999996"/>
    <s v="7014 Fieldstone Drive"/>
    <m/>
    <x v="0"/>
    <x v="0"/>
    <x v="0"/>
    <s v="No"/>
  </r>
  <r>
    <n v="209"/>
    <x v="30"/>
    <s v="Friday"/>
    <s v="Same"/>
    <n v="21.65"/>
    <n v="6.35"/>
    <n v="0.29330254041570442"/>
    <n v="1.5"/>
    <d v="1899-12-30T20:40:00"/>
    <d v="1899-12-30T21:18:00"/>
    <d v="1899-12-30T00:38:00"/>
    <n v="38"/>
    <s v="3240 Parkwood Blvd"/>
    <n v="335"/>
    <x v="0"/>
    <x v="0"/>
    <x v="2"/>
    <s v="No"/>
  </r>
  <r>
    <n v="210"/>
    <x v="30"/>
    <s v="Friday"/>
    <s v="Same"/>
    <n v="36.26"/>
    <n v="8"/>
    <n v="0.22062879205736349"/>
    <n v="5"/>
    <d v="1899-12-30T21:50:00"/>
    <d v="1899-12-30T22:18:00"/>
    <d v="1899-12-30T00:28:00"/>
    <n v="28"/>
    <s v="6070 Sports Village Road"/>
    <n v="302"/>
    <x v="0"/>
    <x v="0"/>
    <x v="2"/>
    <s v="No"/>
  </r>
  <r>
    <n v="211"/>
    <x v="31"/>
    <s v="Saturday"/>
    <s v="Different"/>
    <n v="72.37"/>
    <n v="7"/>
    <n v="9.6725162360093958E-2"/>
    <n v="1.5"/>
    <d v="1899-12-30T17:28:00"/>
    <d v="1899-12-30T18:00:00"/>
    <d v="1899-12-30T00:32:00"/>
    <n v="32"/>
    <s v="7012 Ebony Court"/>
    <m/>
    <x v="2"/>
    <x v="0"/>
    <x v="0"/>
    <s v="No"/>
  </r>
  <r>
    <n v="212"/>
    <x v="31"/>
    <s v="Saturday"/>
    <s v="Same"/>
    <n v="35.130000000000003"/>
    <n v="5"/>
    <n v="0.14232849416453172"/>
    <n v="1.5"/>
    <d v="1899-12-30T17:39:00"/>
    <d v="1899-12-30T18:10:00"/>
    <d v="1899-12-30T00:31:00"/>
    <n v="31.000000000000004"/>
    <s v="3008 Buena Vista Drive"/>
    <m/>
    <x v="2"/>
    <x v="0"/>
    <x v="0"/>
    <s v="No"/>
  </r>
  <r>
    <n v="213"/>
    <x v="31"/>
    <s v="Saturday"/>
    <s v="Same"/>
    <n v="49.69"/>
    <n v="10.09"/>
    <n v="0.20305896558663716"/>
    <n v="1.5"/>
    <d v="1899-12-30T18:57:00"/>
    <d v="1899-12-30T19:40:00"/>
    <d v="1899-12-30T00:43:00"/>
    <n v="43"/>
    <s v="3759 Pistol Creek Drive"/>
    <m/>
    <x v="0"/>
    <x v="5"/>
    <x v="0"/>
    <s v="No"/>
  </r>
  <r>
    <n v="214"/>
    <x v="31"/>
    <s v="Saturday"/>
    <s v="Same"/>
    <n v="39.97"/>
    <n v="6"/>
    <n v="0.15011258443832876"/>
    <n v="5"/>
    <d v="1899-12-30T19:17:00"/>
    <d v="1899-12-30T19:59:00"/>
    <d v="1899-12-30T00:42:00"/>
    <n v="42"/>
    <s v="5630 Beacon Hill Drive"/>
    <m/>
    <x v="0"/>
    <x v="0"/>
    <x v="0"/>
    <s v="No"/>
  </r>
  <r>
    <n v="215"/>
    <x v="31"/>
    <s v="Saturday"/>
    <s v="Same"/>
    <n v="119.56"/>
    <n v="20"/>
    <n v="0.16728002676480427"/>
    <n v="7"/>
    <d v="1899-12-30T19:09:00"/>
    <d v="1899-12-30T20:03:00"/>
    <d v="1899-12-30T00:54:00"/>
    <n v="53.999999999999993"/>
    <s v="13405 Spirit Fall Drive"/>
    <m/>
    <x v="0"/>
    <x v="0"/>
    <x v="0"/>
    <s v="No"/>
  </r>
  <r>
    <n v="216"/>
    <x v="31"/>
    <s v="Saturday"/>
    <s v="Same"/>
    <n v="44.33"/>
    <n v="5"/>
    <n v="0.11279043537108054"/>
    <n v="1.5"/>
    <d v="1899-12-30T20:30:00"/>
    <d v="1899-12-30T20:58:00"/>
    <d v="1899-12-30T00:28:00"/>
    <n v="28"/>
    <s v="4604 Portrait Lane"/>
    <m/>
    <x v="2"/>
    <x v="0"/>
    <x v="0"/>
    <s v="No"/>
  </r>
  <r>
    <n v="217"/>
    <x v="31"/>
    <s v="Saturday"/>
    <s v="Same"/>
    <n v="49.25"/>
    <n v="10.75"/>
    <n v="0.21827411167512689"/>
    <n v="1.5"/>
    <d v="1899-12-30T21:31:00"/>
    <d v="1899-12-30T21:48:00"/>
    <d v="1899-12-30T00:17:00"/>
    <n v="17"/>
    <s v="5850 Grosseto Drive"/>
    <m/>
    <x v="0"/>
    <x v="0"/>
    <x v="0"/>
    <s v="No"/>
  </r>
  <r>
    <n v="218"/>
    <x v="32"/>
    <s v="Sunday"/>
    <s v="Different"/>
    <n v="20.57"/>
    <n v="2.4300000000000002"/>
    <n v="0.11813320369470102"/>
    <n v="1.5"/>
    <d v="1899-12-30T16:47:00"/>
    <d v="1899-12-30T17:17:00"/>
    <d v="1899-12-30T00:30:00"/>
    <n v="30"/>
    <s v="4692 Amanda Court"/>
    <m/>
    <x v="2"/>
    <x v="0"/>
    <x v="0"/>
    <s v="No"/>
  </r>
  <r>
    <n v="219"/>
    <x v="32"/>
    <s v="Sunday"/>
    <s v="Same"/>
    <n v="19.7"/>
    <n v="4"/>
    <n v="0.20304568527918782"/>
    <n v="1.5"/>
    <d v="1899-12-30T17:49:00"/>
    <d v="1899-12-30T18:11:00"/>
    <d v="1899-12-30T00:22:00"/>
    <n v="22"/>
    <s v="6416 Connell Farm Drive"/>
    <m/>
    <x v="2"/>
    <x v="0"/>
    <x v="0"/>
    <s v="No"/>
  </r>
  <r>
    <n v="220"/>
    <x v="32"/>
    <s v="Sunday"/>
    <s v="Same"/>
    <n v="150.31"/>
    <n v="20"/>
    <n v="0.13305834608475817"/>
    <n v="5"/>
    <d v="1899-12-30T19:00:00"/>
    <d v="1899-12-30T19:00:00"/>
    <d v="1899-12-30T00:00:00"/>
    <n v="0"/>
    <s v="7665 Quiet Meadow Lane"/>
    <m/>
    <x v="0"/>
    <x v="0"/>
    <x v="0"/>
    <s v="Yes"/>
  </r>
  <r>
    <n v="221"/>
    <x v="32"/>
    <s v="Sunday"/>
    <s v="Same"/>
    <n v="37.35"/>
    <n v="4"/>
    <n v="0.107095046854083"/>
    <n v="1.5"/>
    <d v="1899-12-30T18:24:00"/>
    <d v="1899-12-30T19:11:00"/>
    <d v="1899-12-30T00:47:00"/>
    <n v="47.000000000000007"/>
    <s v="5861 Pisa Lane"/>
    <m/>
    <x v="0"/>
    <x v="0"/>
    <x v="0"/>
    <s v="No"/>
  </r>
  <r>
    <n v="222"/>
    <x v="32"/>
    <s v="Sunday"/>
    <s v="Same"/>
    <n v="27.01"/>
    <n v="7.99"/>
    <n v="0.29581636430951497"/>
    <n v="1.5"/>
    <d v="1899-12-30T19:16:00"/>
    <d v="1899-12-30T19:38:00"/>
    <d v="1899-12-30T00:22:00"/>
    <n v="22"/>
    <s v="5444 TX-121"/>
    <m/>
    <x v="0"/>
    <x v="0"/>
    <x v="2"/>
    <s v="No"/>
  </r>
  <r>
    <n v="223"/>
    <x v="32"/>
    <s v="Sunday"/>
    <s v="Same"/>
    <n v="22.14"/>
    <n v="3"/>
    <n v="0.13550135501355012"/>
    <n v="5"/>
    <d v="1899-12-30T19:11:00"/>
    <d v="1899-12-30T19:57:00"/>
    <d v="1899-12-30T00:46:00"/>
    <n v="46.000000000000007"/>
    <s v="7501 Spruce Creek Lane"/>
    <m/>
    <x v="0"/>
    <x v="0"/>
    <x v="0"/>
    <s v="No"/>
  </r>
  <r>
    <n v="224"/>
    <x v="32"/>
    <s v="Sunday"/>
    <s v="Same"/>
    <n v="44.82"/>
    <n v="6"/>
    <n v="0.13386880856760375"/>
    <n v="5"/>
    <d v="1899-12-30T19:18:00"/>
    <d v="1899-12-30T20:12:00"/>
    <d v="1899-12-30T00:54:00"/>
    <n v="53.999999999999993"/>
    <s v="11368 Dorchester Lane"/>
    <m/>
    <x v="0"/>
    <x v="0"/>
    <x v="0"/>
    <s v="No"/>
  </r>
  <r>
    <n v="225"/>
    <x v="33"/>
    <s v="Monday"/>
    <s v="Different"/>
    <n v="38.92"/>
    <n v="5"/>
    <n v="0.12846865364850976"/>
    <n v="1.5"/>
    <d v="1899-12-30T16:53:00"/>
    <d v="1899-12-30T17:22:00"/>
    <d v="1899-12-30T00:29:00"/>
    <n v="29.000000000000004"/>
    <s v="6 Southern Hills Court"/>
    <m/>
    <x v="0"/>
    <x v="1"/>
    <x v="0"/>
    <s v="No"/>
  </r>
  <r>
    <n v="226"/>
    <x v="33"/>
    <s v="Monday"/>
    <s v="Same"/>
    <n v="26.74"/>
    <n v="5"/>
    <n v="0.18698578908002994"/>
    <n v="1.5"/>
    <d v="1899-12-30T17:00:00"/>
    <d v="1899-12-30T17:30:00"/>
    <d v="1899-12-30T00:30:00"/>
    <n v="30"/>
    <s v="5177 Iroquois Drive"/>
    <m/>
    <x v="0"/>
    <x v="0"/>
    <x v="0"/>
    <s v="No"/>
  </r>
  <r>
    <n v="227"/>
    <x v="33"/>
    <s v="Monday"/>
    <s v="Same"/>
    <n v="21.05"/>
    <n v="5"/>
    <n v="0.23752969121140141"/>
    <n v="1.5"/>
    <d v="1899-12-30T17:49:00"/>
    <d v="1899-12-30T18:26:00"/>
    <d v="1899-12-30T00:37:00"/>
    <n v="37"/>
    <s v="5765 Crestwood Lane"/>
    <m/>
    <x v="3"/>
    <x v="0"/>
    <x v="0"/>
    <s v="No"/>
  </r>
  <r>
    <n v="228"/>
    <x v="33"/>
    <s v="Monday"/>
    <s v="Same"/>
    <n v="19.7"/>
    <n v="1.3"/>
    <n v="6.5989847715736044E-2"/>
    <n v="1.5"/>
    <d v="1899-12-30T18:02:00"/>
    <d v="1899-12-30T18:49:00"/>
    <d v="1899-12-30T00:47:00"/>
    <n v="47.000000000000007"/>
    <s v="5476 Balmoral Drive"/>
    <m/>
    <x v="0"/>
    <x v="0"/>
    <x v="0"/>
    <s v="No"/>
  </r>
  <r>
    <n v="229"/>
    <x v="33"/>
    <s v="Monday"/>
    <s v="Same"/>
    <n v="88.17"/>
    <n v="13"/>
    <n v="0.14744244073948054"/>
    <n v="5"/>
    <d v="1899-12-30T17:51:00"/>
    <d v="1899-12-30T19:03:00"/>
    <d v="1899-12-30T01:12:00"/>
    <n v="72"/>
    <s v="10209 Lasso Drive"/>
    <m/>
    <x v="0"/>
    <x v="0"/>
    <x v="0"/>
    <s v="No"/>
  </r>
  <r>
    <n v="230"/>
    <x v="33"/>
    <s v="Monday"/>
    <s v="Same"/>
    <n v="48.66"/>
    <n v="5"/>
    <n v="0.10275380189066996"/>
    <n v="5"/>
    <d v="1899-12-30T18:25:00"/>
    <d v="1899-12-30T19:09:00"/>
    <d v="1899-12-30T00:44:00"/>
    <n v="44"/>
    <s v="1418 Wildfire Lane"/>
    <m/>
    <x v="0"/>
    <x v="0"/>
    <x v="0"/>
    <s v="No"/>
  </r>
  <r>
    <n v="231"/>
    <x v="33"/>
    <s v="Monday"/>
    <s v="Same"/>
    <n v="79.239999999999995"/>
    <n v="3"/>
    <n v="3.7859666834931853E-2"/>
    <n v="1.5"/>
    <d v="1899-12-30T18:59:00"/>
    <d v="1899-12-30T19:40:00"/>
    <d v="1899-12-30T00:41:00"/>
    <n v="41"/>
    <s v="6149 Trailwood Drive"/>
    <m/>
    <x v="2"/>
    <x v="0"/>
    <x v="0"/>
    <s v="No"/>
  </r>
  <r>
    <n v="232"/>
    <x v="33"/>
    <s v="Monday"/>
    <s v="Same"/>
    <n v="22.41"/>
    <n v="5"/>
    <n v="0.22311468094600626"/>
    <n v="1.5"/>
    <d v="1899-12-30T19:20:00"/>
    <d v="1899-12-30T19:50:00"/>
    <d v="1899-12-30T00:30:00"/>
    <n v="30"/>
    <s v="6960 Sumner Street"/>
    <n v="110"/>
    <x v="3"/>
    <x v="0"/>
    <x v="1"/>
    <s v="No"/>
  </r>
  <r>
    <n v="233"/>
    <x v="33"/>
    <s v="Monday"/>
    <s v="Same"/>
    <n v="21.92"/>
    <n v="2"/>
    <n v="9.1240875912408759E-2"/>
    <n v="1.5"/>
    <d v="1899-12-30T20:14:00"/>
    <d v="1899-12-30T20:48:00"/>
    <d v="1899-12-30T00:34:00"/>
    <n v="34"/>
    <s v="6085 Water Street"/>
    <n v="2317"/>
    <x v="2"/>
    <x v="0"/>
    <x v="1"/>
    <s v="No"/>
  </r>
  <r>
    <n v="234"/>
    <x v="33"/>
    <s v="Monday"/>
    <s v="Same"/>
    <n v="21.38"/>
    <n v="18.62"/>
    <n v="0.87090739008419094"/>
    <n v="1.5"/>
    <d v="1899-12-30T20:57:00"/>
    <d v="1899-12-30T21:17:00"/>
    <d v="1899-12-30T00:20:00"/>
    <n v="20"/>
    <s v="2356 Chelsea Drive"/>
    <m/>
    <x v="0"/>
    <x v="0"/>
    <x v="0"/>
    <s v="No"/>
  </r>
  <r>
    <n v="235"/>
    <x v="34"/>
    <s v="Sunday"/>
    <s v="Different"/>
    <n v="26.2"/>
    <n v="15.8"/>
    <n v="0.60305343511450382"/>
    <n v="5"/>
    <d v="1899-12-30T17:10:00"/>
    <d v="1899-12-30T17:38:00"/>
    <d v="1899-12-30T00:28:00"/>
    <n v="28"/>
    <s v="8061 Hillside Drive"/>
    <m/>
    <x v="0"/>
    <x v="0"/>
    <x v="0"/>
    <s v="No"/>
  </r>
  <r>
    <n v="236"/>
    <x v="34"/>
    <s v="Sunday"/>
    <s v="Same"/>
    <n v="36.43"/>
    <n v="5"/>
    <n v="0.1372495196266813"/>
    <n v="1.5"/>
    <d v="1899-12-30T17:12:00"/>
    <d v="1899-12-30T17:49:00"/>
    <d v="1899-12-30T00:37:00"/>
    <n v="37"/>
    <s v="49 Prestine Pond Drive"/>
    <m/>
    <x v="0"/>
    <x v="0"/>
    <x v="0"/>
    <s v="No"/>
  </r>
  <r>
    <n v="237"/>
    <x v="34"/>
    <s v="Sunday"/>
    <s v="Same"/>
    <n v="23.24"/>
    <n v="3"/>
    <n v="0.12908777969018934"/>
    <n v="1.5"/>
    <d v="1899-12-30T17:12:00"/>
    <d v="1899-12-30T18:00:00"/>
    <d v="1899-12-30T00:48:00"/>
    <n v="48"/>
    <s v="5752 Baltic Blvd"/>
    <m/>
    <x v="2"/>
    <x v="0"/>
    <x v="0"/>
    <s v="No"/>
  </r>
  <r>
    <n v="238"/>
    <x v="34"/>
    <s v="Sunday"/>
    <s v="Same"/>
    <n v="49.25"/>
    <n v="10.75"/>
    <n v="0.21827411167512689"/>
    <n v="1.5"/>
    <d v="1899-12-30T18:23:00"/>
    <d v="1899-12-30T18:56:00"/>
    <d v="1899-12-30T00:33:00"/>
    <n v="33"/>
    <s v="13246 Torrington Drive"/>
    <m/>
    <x v="0"/>
    <x v="0"/>
    <x v="0"/>
    <s v="No"/>
  </r>
  <r>
    <n v="239"/>
    <x v="34"/>
    <s v="Sunday"/>
    <s v="Same"/>
    <n v="21.33"/>
    <n v="3.67"/>
    <n v="0.17205813408345055"/>
    <n v="1.5"/>
    <d v="1899-12-30T18:29:00"/>
    <d v="1899-12-30T19:08:00"/>
    <d v="1899-12-30T00:39:00"/>
    <n v="39"/>
    <s v="8530 Hidden Springs Drive"/>
    <m/>
    <x v="0"/>
    <x v="0"/>
    <x v="0"/>
    <s v="No"/>
  </r>
  <r>
    <n v="240"/>
    <x v="34"/>
    <s v="Sunday"/>
    <s v="Same"/>
    <n v="28.09"/>
    <n v="5"/>
    <n v="0.17799928800284798"/>
    <n v="1.5"/>
    <d v="1899-12-30T18:37:00"/>
    <d v="1899-12-30T19:29:00"/>
    <d v="1899-12-30T00:52:00"/>
    <n v="52"/>
    <s v="4909 Plantation Drive"/>
    <m/>
    <x v="0"/>
    <x v="0"/>
    <x v="0"/>
    <s v="No"/>
  </r>
  <r>
    <n v="241"/>
    <x v="34"/>
    <s v="Sunday"/>
    <s v="Same"/>
    <n v="20.57"/>
    <n v="5"/>
    <n v="0.24307243558580457"/>
    <n v="1.5"/>
    <d v="1899-12-30T19:37:00"/>
    <d v="1899-12-30T20:19:00"/>
    <d v="1899-12-30T00:42:00"/>
    <n v="42"/>
    <s v="6706 Livorno Lane"/>
    <m/>
    <x v="0"/>
    <x v="0"/>
    <x v="0"/>
    <s v="No"/>
  </r>
  <r>
    <n v="242"/>
    <x v="34"/>
    <s v="Sunday"/>
    <s v="Same"/>
    <n v="19.7"/>
    <n v="2"/>
    <n v="0.10152284263959391"/>
    <n v="1.5"/>
    <d v="1899-12-30T20:08:00"/>
    <d v="1899-12-30T20:33:00"/>
    <d v="1899-12-30T00:25:00"/>
    <n v="25"/>
    <s v="2390 Briar Court"/>
    <m/>
    <x v="0"/>
    <x v="3"/>
    <x v="0"/>
    <s v="No"/>
  </r>
  <r>
    <n v="243"/>
    <x v="34"/>
    <s v="Sunday"/>
    <s v="Same"/>
    <n v="53.8"/>
    <n v="10"/>
    <n v="0.18587360594795541"/>
    <n v="1.5"/>
    <d v="1899-12-30T20:22:00"/>
    <d v="1899-12-30T21:05:00"/>
    <d v="1899-12-30T00:43:00"/>
    <n v="43"/>
    <s v="7408 Wildflower Drive"/>
    <m/>
    <x v="2"/>
    <x v="0"/>
    <x v="0"/>
    <s v="No"/>
  </r>
  <r>
    <n v="244"/>
    <x v="34"/>
    <s v="Sunday"/>
    <s v="Same"/>
    <n v="19.7"/>
    <n v="3"/>
    <n v="0.15228426395939088"/>
    <n v="1.5"/>
    <d v="1899-12-30T20:25:00"/>
    <d v="1899-12-30T21:13:00"/>
    <d v="1899-12-30T00:48:00"/>
    <n v="48"/>
    <s v="8212 Ambiance Way"/>
    <m/>
    <x v="2"/>
    <x v="0"/>
    <x v="0"/>
    <s v="No"/>
  </r>
  <r>
    <n v="245"/>
    <x v="35"/>
    <s v="Friday"/>
    <s v="Different"/>
    <n v="44.82"/>
    <n v="8"/>
    <n v="0.17849174475680499"/>
    <n v="5"/>
    <d v="1899-12-30T16:11:00"/>
    <d v="1899-12-30T17:00:00"/>
    <d v="1899-12-30T00:49:00"/>
    <n v="49"/>
    <s v="962 Havenbrook Lane"/>
    <m/>
    <x v="0"/>
    <x v="0"/>
    <x v="0"/>
    <s v="No"/>
  </r>
  <r>
    <n v="246"/>
    <x v="35"/>
    <s v="Friday"/>
    <s v="Same"/>
    <n v="47.79"/>
    <n v="10"/>
    <n v="0.2092487968194183"/>
    <n v="1.5"/>
    <d v="1899-12-30T17:33:00"/>
    <d v="1899-12-30T18:07:00"/>
    <d v="1899-12-30T00:34:00"/>
    <n v="34"/>
    <s v="7601 Olive Branch Court"/>
    <m/>
    <x v="2"/>
    <x v="0"/>
    <x v="0"/>
    <s v="No"/>
  </r>
  <r>
    <n v="247"/>
    <x v="35"/>
    <s v="Friday"/>
    <s v="Same"/>
    <n v="75.88"/>
    <n v="15"/>
    <n v="0.19768054823405379"/>
    <n v="1.5"/>
    <d v="1899-12-30T19:15:00"/>
    <d v="1899-12-30T19:15:00"/>
    <d v="1899-12-30T00:00:00"/>
    <n v="0"/>
    <s v="11304 Jereme Trail"/>
    <m/>
    <x v="0"/>
    <x v="0"/>
    <x v="0"/>
    <s v="Yes"/>
  </r>
  <r>
    <n v="248"/>
    <x v="35"/>
    <s v="Friday"/>
    <s v="Same"/>
    <n v="63.54"/>
    <n v="12"/>
    <n v="0.18885741265344666"/>
    <n v="7"/>
    <d v="1899-12-30T18:39:00"/>
    <d v="1899-12-30T19:28:00"/>
    <d v="1899-12-30T00:49:00"/>
    <n v="49"/>
    <s v="11592 Glen Rose Drive"/>
    <m/>
    <x v="0"/>
    <x v="0"/>
    <x v="0"/>
    <s v="No"/>
  </r>
  <r>
    <n v="249"/>
    <x v="35"/>
    <s v="Friday"/>
    <s v="Same"/>
    <n v="34.86"/>
    <n v="3"/>
    <n v="8.6058519793459548E-2"/>
    <n v="1.5"/>
    <d v="1899-12-30T19:40:00"/>
    <d v="1899-12-30T20:09:00"/>
    <d v="1899-12-30T00:29:00"/>
    <n v="29.000000000000004"/>
    <s v="3876 Johnson Street"/>
    <m/>
    <x v="0"/>
    <x v="0"/>
    <x v="0"/>
    <s v="No"/>
  </r>
  <r>
    <n v="250"/>
    <x v="35"/>
    <s v="Friday"/>
    <s v="Same"/>
    <n v="20.239999999999998"/>
    <n v="4.76"/>
    <n v="0.23517786561264822"/>
    <n v="1.5"/>
    <d v="1899-12-30T19:49:00"/>
    <d v="1899-12-30T20:23:00"/>
    <d v="1899-12-30T00:34:00"/>
    <n v="34"/>
    <s v="3 Armstrong Drive"/>
    <m/>
    <x v="0"/>
    <x v="3"/>
    <x v="0"/>
    <s v="No"/>
  </r>
  <r>
    <n v="251"/>
    <x v="35"/>
    <s v="Friday"/>
    <s v="Same"/>
    <n v="19.16"/>
    <n v="5"/>
    <n v="0.26096033402922758"/>
    <n v="1.5"/>
    <d v="1899-12-30T21:00:00"/>
    <d v="1899-12-30T21:21:00"/>
    <d v="1899-12-30T00:21:00"/>
    <n v="21"/>
    <s v="8620 Naomi Street"/>
    <m/>
    <x v="2"/>
    <x v="0"/>
    <x v="0"/>
    <s v="No"/>
  </r>
  <r>
    <n v="252"/>
    <x v="36"/>
    <s v="Saturday"/>
    <s v="Different"/>
    <n v="38.32"/>
    <n v="6"/>
    <n v="0.15657620041753653"/>
    <n v="1.5"/>
    <d v="1899-12-30T16:53:00"/>
    <d v="1899-12-30T17:11:00"/>
    <d v="1899-12-30T00:18:00"/>
    <n v="18"/>
    <s v="8355 Parkwood Blvd"/>
    <n v="101"/>
    <x v="2"/>
    <x v="0"/>
    <x v="2"/>
    <s v="No"/>
  </r>
  <r>
    <n v="253"/>
    <x v="36"/>
    <s v="Saturday"/>
    <s v="Same"/>
    <n v="36.81"/>
    <n v="8"/>
    <n v="0.21733224667209997"/>
    <n v="1.5"/>
    <d v="1899-12-30T17:46:00"/>
    <d v="1899-12-30T18:13:00"/>
    <d v="1899-12-30T00:27:00"/>
    <n v="26.999999999999996"/>
    <s v="5715 Lake District Drive"/>
    <m/>
    <x v="3"/>
    <x v="0"/>
    <x v="0"/>
    <s v="No"/>
  </r>
  <r>
    <n v="254"/>
    <x v="36"/>
    <s v="Saturday"/>
    <s v="Same"/>
    <n v="34.32"/>
    <n v="5.68"/>
    <n v="0.1655011655011655"/>
    <n v="1.5"/>
    <d v="1899-12-30T17:53:00"/>
    <d v="1899-12-30T18:23:00"/>
    <d v="1899-12-30T00:30:00"/>
    <n v="30"/>
    <s v="6825 Bonaparte Court"/>
    <m/>
    <x v="2"/>
    <x v="6"/>
    <x v="0"/>
    <s v="No"/>
  </r>
  <r>
    <n v="255"/>
    <x v="36"/>
    <s v="Saturday"/>
    <s v="Same"/>
    <n v="21.18"/>
    <n v="8"/>
    <n v="0.37771482530689332"/>
    <n v="1.5"/>
    <d v="1899-12-30T18:29:00"/>
    <d v="1899-12-30T19:18:00"/>
    <d v="1899-12-30T00:49:00"/>
    <n v="49"/>
    <s v="11204 New Orleans Drive"/>
    <m/>
    <x v="0"/>
    <x v="0"/>
    <x v="0"/>
    <s v="No"/>
  </r>
  <r>
    <n v="256"/>
    <x v="36"/>
    <s v="Saturday"/>
    <s v="Same"/>
    <n v="87.68"/>
    <n v="20"/>
    <n v="0.22810218978102187"/>
    <n v="1.5"/>
    <d v="1899-12-30T18:36:00"/>
    <d v="1899-12-30T19:01:00"/>
    <d v="1899-12-30T00:25:00"/>
    <n v="25"/>
    <s v="7600 John Q Hammons Blvd"/>
    <m/>
    <x v="0"/>
    <x v="0"/>
    <x v="2"/>
    <s v="No"/>
  </r>
  <r>
    <n v="257"/>
    <x v="36"/>
    <s v="Saturday"/>
    <s v="Same"/>
    <n v="50.5"/>
    <n v="15"/>
    <n v="0.29702970297029702"/>
    <n v="1.5"/>
    <d v="1899-12-30T18:41:00"/>
    <d v="1899-12-30T19:23:00"/>
    <d v="1899-12-30T00:42:00"/>
    <n v="42"/>
    <s v="3861 Plantation Lane"/>
    <m/>
    <x v="0"/>
    <x v="0"/>
    <x v="0"/>
    <s v="No"/>
  </r>
  <r>
    <n v="258"/>
    <x v="36"/>
    <s v="Saturday"/>
    <s v="Same"/>
    <n v="33.72"/>
    <n v="6.28"/>
    <n v="0.18623962040332148"/>
    <n v="1.5"/>
    <d v="1899-12-30T19:47:00"/>
    <d v="1899-12-30T20:09:00"/>
    <d v="1899-12-30T00:22:00"/>
    <n v="22"/>
    <s v="5533 Donley Drive"/>
    <m/>
    <x v="0"/>
    <x v="0"/>
    <x v="0"/>
    <s v="No"/>
  </r>
  <r>
    <n v="259"/>
    <x v="36"/>
    <s v="Saturday"/>
    <s v="Same"/>
    <n v="32.96"/>
    <n v="7.04"/>
    <n v="0.21359223300970873"/>
    <n v="1.5"/>
    <d v="1899-12-30T20:16:00"/>
    <d v="1899-12-30T20:46:00"/>
    <d v="1899-12-30T00:30:00"/>
    <n v="30"/>
    <s v="5675 Lake District Drive"/>
    <n v="106"/>
    <x v="3"/>
    <x v="0"/>
    <x v="1"/>
    <s v="No"/>
  </r>
  <r>
    <n v="260"/>
    <x v="36"/>
    <s v="Saturday"/>
    <s v="Same"/>
    <n v="52.39"/>
    <n v="8.61"/>
    <n v="0.16434434052300056"/>
    <n v="1.5"/>
    <d v="1899-12-30T20:45:00"/>
    <d v="1899-12-30T21:12:00"/>
    <d v="1899-12-30T00:27:00"/>
    <n v="26.999999999999996"/>
    <s v="7600 John Q Hammons Blvd"/>
    <n v="1202"/>
    <x v="0"/>
    <x v="0"/>
    <x v="2"/>
    <s v="No"/>
  </r>
  <r>
    <n v="261"/>
    <x v="36"/>
    <s v="Saturday"/>
    <s v="Same"/>
    <n v="28.9"/>
    <n v="3.1"/>
    <n v="0.10726643598615918"/>
    <n v="1.5"/>
    <d v="1899-12-30T20:49:00"/>
    <d v="1899-12-30T21:32:00"/>
    <d v="1899-12-30T00:43:00"/>
    <n v="43"/>
    <s v="10541 Castle Drive"/>
    <m/>
    <x v="0"/>
    <x v="0"/>
    <x v="0"/>
    <s v="No"/>
  </r>
  <r>
    <n v="262"/>
    <x v="37"/>
    <s v="Sunday"/>
    <s v="Different"/>
    <n v="22.41"/>
    <n v="5"/>
    <n v="0.22311468094600626"/>
    <n v="1.5"/>
    <d v="1899-12-30T16:55:00"/>
    <d v="1899-12-30T17:31:00"/>
    <d v="1899-12-30T00:36:00"/>
    <n v="36"/>
    <s v="7997 Wade Blvd"/>
    <n v="717"/>
    <x v="0"/>
    <x v="0"/>
    <x v="1"/>
    <s v="No"/>
  </r>
  <r>
    <n v="263"/>
    <x v="37"/>
    <s v="Sunday"/>
    <s v="Same"/>
    <n v="18.350000000000001"/>
    <n v="3.65"/>
    <n v="0.19891008174386918"/>
    <n v="1.5"/>
    <d v="1899-12-30T17:25:00"/>
    <d v="1899-12-30T18:05:00"/>
    <d v="1899-12-30T00:40:00"/>
    <n v="40"/>
    <s v="4609 Stargazer Drive"/>
    <m/>
    <x v="2"/>
    <x v="0"/>
    <x v="0"/>
    <s v="No"/>
  </r>
  <r>
    <n v="264"/>
    <x v="37"/>
    <s v="Sunday"/>
    <s v="Same"/>
    <n v="46.98"/>
    <n v="3.02"/>
    <n v="6.4282673478075786E-2"/>
    <n v="5"/>
    <d v="1899-12-30T17:44:00"/>
    <d v="1899-12-30T18:15:00"/>
    <d v="1899-12-30T00:31:00"/>
    <n v="31.000000000000004"/>
    <s v="2316 All Saints Lane"/>
    <m/>
    <x v="2"/>
    <x v="0"/>
    <x v="0"/>
    <s v="No"/>
  </r>
  <r>
    <n v="265"/>
    <x v="37"/>
    <s v="Sunday"/>
    <s v="Same"/>
    <n v="38.590000000000003"/>
    <n v="6"/>
    <n v="0.15548069448043533"/>
    <n v="5"/>
    <d v="1899-12-30T18:19:00"/>
    <d v="1899-12-30T18:59:00"/>
    <d v="1899-12-30T00:40:00"/>
    <n v="40"/>
    <s v="7950 Meadow Hill Drive"/>
    <m/>
    <x v="0"/>
    <x v="0"/>
    <x v="0"/>
    <s v="No"/>
  </r>
  <r>
    <n v="266"/>
    <x v="37"/>
    <s v="Sunday"/>
    <s v="Same"/>
    <n v="24.84"/>
    <n v="8.16"/>
    <n v="0.32850241545893721"/>
    <n v="1.5"/>
    <d v="1899-12-30T18:05:00"/>
    <d v="1899-12-30T19:07:00"/>
    <d v="1899-12-30T01:02:00"/>
    <n v="62.000000000000007"/>
    <s v="8021 Flagstone Street"/>
    <m/>
    <x v="0"/>
    <x v="0"/>
    <x v="0"/>
    <s v="No"/>
  </r>
  <r>
    <n v="267"/>
    <x v="37"/>
    <s v="Sunday"/>
    <s v="Same"/>
    <n v="29.99"/>
    <n v="8.01"/>
    <n v="0.26708902967655884"/>
    <n v="1.5"/>
    <d v="1899-12-30T18:18:00"/>
    <d v="1899-12-30T19:15:00"/>
    <d v="1899-12-30T00:57:00"/>
    <n v="57"/>
    <s v="11264 Clover Knoll Drive"/>
    <m/>
    <x v="0"/>
    <x v="0"/>
    <x v="0"/>
    <s v="No"/>
  </r>
  <r>
    <n v="268"/>
    <x v="37"/>
    <s v="Sunday"/>
    <s v="Same"/>
    <n v="31.39"/>
    <n v="5"/>
    <n v="0.15928639694170119"/>
    <n v="1.5"/>
    <d v="1899-12-30T19:16:00"/>
    <d v="1899-12-30T19:47:00"/>
    <d v="1899-12-30T00:31:00"/>
    <n v="31.000000000000004"/>
    <s v="6621 Terrace Mills Lane"/>
    <m/>
    <x v="2"/>
    <x v="0"/>
    <x v="0"/>
    <s v="No"/>
  </r>
  <r>
    <n v="269"/>
    <x v="38"/>
    <s v="Friday"/>
    <s v="Different"/>
    <n v="31.07"/>
    <n v="6.93"/>
    <n v="0.22304473768908914"/>
    <n v="1.5"/>
    <d v="1899-12-30T16:46:00"/>
    <d v="1899-12-30T17:17:00"/>
    <d v="1899-12-30T00:31:00"/>
    <n v="31.000000000000004"/>
    <s v="11 Cyprus Point Court"/>
    <m/>
    <x v="0"/>
    <x v="1"/>
    <x v="0"/>
    <s v="No"/>
  </r>
  <r>
    <n v="270"/>
    <x v="39"/>
    <s v="Saturday"/>
    <s v="Different"/>
    <n v="40.49"/>
    <n v="5"/>
    <n v="0.12348728081007655"/>
    <n v="1.5"/>
    <d v="1899-12-30T17:24:00"/>
    <d v="1899-12-30T17:46:00"/>
    <d v="1899-12-30T00:22:00"/>
    <n v="22"/>
    <s v="6960 Sumner Street"/>
    <n v="110"/>
    <x v="3"/>
    <x v="0"/>
    <x v="1"/>
    <s v="No"/>
  </r>
  <r>
    <n v="271"/>
    <x v="39"/>
    <s v="Saturday"/>
    <s v="Same"/>
    <n v="24.03"/>
    <n v="6"/>
    <n v="0.24968789013732834"/>
    <n v="1.5"/>
    <d v="1899-12-30T18:30:00"/>
    <d v="1899-12-30T19:02:00"/>
    <d v="1899-12-30T00:32:00"/>
    <n v="32"/>
    <s v="5451 Balmoral Drive"/>
    <m/>
    <x v="0"/>
    <x v="0"/>
    <x v="0"/>
    <s v="No"/>
  </r>
  <r>
    <n v="272"/>
    <x v="39"/>
    <s v="Saturday"/>
    <s v="Same"/>
    <n v="58.4"/>
    <n v="10"/>
    <n v="0.17123287671232876"/>
    <n v="5"/>
    <d v="1899-12-30T18:32:00"/>
    <d v="1899-12-30T19:15:00"/>
    <d v="1899-12-30T00:43:00"/>
    <n v="43"/>
    <s v="7281 Shingle Mill Road"/>
    <m/>
    <x v="0"/>
    <x v="0"/>
    <x v="0"/>
    <s v="No"/>
  </r>
  <r>
    <n v="273"/>
    <x v="39"/>
    <s v="Saturday"/>
    <s v="Same"/>
    <n v="18.89"/>
    <n v="4.1100000000000003"/>
    <n v="0.21757543673901536"/>
    <n v="1.5"/>
    <d v="1899-12-30T18:34:00"/>
    <d v="1899-12-30T19:25:00"/>
    <d v="1899-12-30T00:51:00"/>
    <n v="51"/>
    <s v="6864 Massa Lane"/>
    <m/>
    <x v="0"/>
    <x v="0"/>
    <x v="0"/>
    <s v="No"/>
  </r>
  <r>
    <n v="274"/>
    <x v="39"/>
    <s v="Saturday"/>
    <s v="Same"/>
    <n v="42.38"/>
    <n v="10"/>
    <n v="0.23596035865974516"/>
    <n v="1.5"/>
    <d v="1899-12-30T19:45:00"/>
    <d v="1899-12-30T19:58:00"/>
    <d v="1899-12-30T00:13:00"/>
    <n v="13"/>
    <s v="5805 Granite Parkway"/>
    <m/>
    <x v="2"/>
    <x v="0"/>
    <x v="2"/>
    <s v="No"/>
  </r>
  <r>
    <n v="275"/>
    <x v="39"/>
    <s v="Saturday"/>
    <s v="Same"/>
    <n v="25.66"/>
    <n v="5.33"/>
    <n v="0.20771628994544036"/>
    <n v="1.5"/>
    <d v="1899-12-30T20:00:00"/>
    <d v="1899-12-30T20:21:00"/>
    <d v="1899-12-30T00:21:00"/>
    <n v="21"/>
    <s v="5716 Martin Road"/>
    <n v="2324"/>
    <x v="2"/>
    <x v="0"/>
    <x v="1"/>
    <s v="No"/>
  </r>
  <r>
    <n v="276"/>
    <x v="39"/>
    <s v="Saturday"/>
    <s v="Same"/>
    <n v="23.82"/>
    <n v="5"/>
    <n v="0.20990764063811923"/>
    <n v="1.5"/>
    <d v="1899-12-30T21:03:00"/>
    <d v="1899-12-30T21:19:00"/>
    <d v="1899-12-30T00:16:00"/>
    <n v="16"/>
    <s v="6853 North Dallas Parkway"/>
    <m/>
    <x v="2"/>
    <x v="0"/>
    <x v="2"/>
    <s v="No"/>
  </r>
  <r>
    <n v="277"/>
    <x v="40"/>
    <s v="Sunday"/>
    <s v="Different"/>
    <n v="48.39"/>
    <n v="5"/>
    <n v="0.10332713370531102"/>
    <n v="5"/>
    <d v="1899-12-30T16:34:00"/>
    <d v="1899-12-30T17:12:00"/>
    <d v="1899-12-30T00:38:00"/>
    <n v="38"/>
    <s v="6683 Stallion Ranch Road"/>
    <m/>
    <x v="0"/>
    <x v="0"/>
    <x v="0"/>
    <s v="No"/>
  </r>
  <r>
    <n v="278"/>
    <x v="40"/>
    <s v="Sunday"/>
    <s v="Same"/>
    <n v="58.83"/>
    <n v="8"/>
    <n v="0.135985041645419"/>
    <n v="1.5"/>
    <d v="1899-12-30T17:27:00"/>
    <d v="1899-12-30T17:55:00"/>
    <d v="1899-12-30T00:28:00"/>
    <n v="28"/>
    <s v="1658 Torrey Pines Lane"/>
    <m/>
    <x v="0"/>
    <x v="0"/>
    <x v="0"/>
    <s v="No"/>
  </r>
  <r>
    <n v="279"/>
    <x v="40"/>
    <s v="Sunday"/>
    <s v="Same"/>
    <n v="17.809999999999999"/>
    <n v="5"/>
    <n v="0.28074115665356542"/>
    <n v="5"/>
    <d v="1899-12-30T17:25:00"/>
    <d v="1899-12-30T18:13:00"/>
    <d v="1899-12-30T00:48:00"/>
    <n v="48"/>
    <s v="4057 Chevy Chase Lane"/>
    <m/>
    <x v="0"/>
    <x v="0"/>
    <x v="0"/>
    <s v="No"/>
  </r>
  <r>
    <n v="280"/>
    <x v="40"/>
    <s v="Sunday"/>
    <s v="Same"/>
    <n v="20.239999999999998"/>
    <n v="10"/>
    <n v="0.49407114624505932"/>
    <n v="1.5"/>
    <d v="1899-12-30T17:32:00"/>
    <d v="1899-12-30T18:22:00"/>
    <d v="1899-12-30T00:50:00"/>
    <n v="50"/>
    <s v="4388 Argyle Lane"/>
    <m/>
    <x v="0"/>
    <x v="0"/>
    <x v="0"/>
    <s v="No"/>
  </r>
  <r>
    <n v="281"/>
    <x v="40"/>
    <s v="Sunday"/>
    <s v="Same"/>
    <n v="27.55"/>
    <n v="5"/>
    <n v="0.18148820326678766"/>
    <n v="5"/>
    <d v="1899-12-30T18:09:00"/>
    <d v="1899-12-30T18:56:00"/>
    <d v="1899-12-30T00:47:00"/>
    <n v="47.000000000000007"/>
    <s v="664 Hobie Point Drive"/>
    <m/>
    <x v="3"/>
    <x v="0"/>
    <x v="0"/>
    <s v="No"/>
  </r>
  <r>
    <n v="282"/>
    <x v="40"/>
    <s v="Sunday"/>
    <s v="Same"/>
    <n v="38.65"/>
    <n v="10.35"/>
    <n v="0.26778783958602848"/>
    <n v="1.5"/>
    <d v="1899-12-30T19:16:00"/>
    <d v="1899-12-30T19:53:00"/>
    <d v="1899-12-30T00:37:00"/>
    <n v="37"/>
    <s v="10709 Promise Land Drive"/>
    <m/>
    <x v="0"/>
    <x v="0"/>
    <x v="0"/>
    <s v="No"/>
  </r>
  <r>
    <n v="283"/>
    <x v="40"/>
    <s v="Sunday"/>
    <s v="Same"/>
    <n v="32.950000000000003"/>
    <n v="2"/>
    <n v="6.0698027314112286E-2"/>
    <n v="1.5"/>
    <d v="1899-12-30T19:19:00"/>
    <d v="1899-12-30T20:19:00"/>
    <d v="1899-12-30T01:00:00"/>
    <n v="60"/>
    <s v="10718 Dry Creek Lane"/>
    <m/>
    <x v="0"/>
    <x v="0"/>
    <x v="0"/>
    <s v="No"/>
  </r>
  <r>
    <n v="284"/>
    <x v="40"/>
    <s v="Sunday"/>
    <s v="Same"/>
    <n v="24.84"/>
    <n v="5"/>
    <n v="0.20128824476650564"/>
    <n v="1.5"/>
    <d v="1899-12-30T19:28:00"/>
    <d v="1899-12-30T19:59:00"/>
    <d v="1899-12-30T00:31:00"/>
    <n v="31.000000000000004"/>
    <s v="11066 Clearstream Lane"/>
    <m/>
    <x v="0"/>
    <x v="0"/>
    <x v="0"/>
    <s v="No"/>
  </r>
  <r>
    <n v="285"/>
    <x v="40"/>
    <s v="Sunday"/>
    <s v="Same"/>
    <n v="18.350000000000001"/>
    <n v="6"/>
    <n v="0.32697547683923706"/>
    <n v="1.5"/>
    <d v="1899-12-30T20:22:00"/>
    <d v="1899-12-30T20:42:00"/>
    <d v="1899-12-30T00:20:00"/>
    <n v="20"/>
    <s v="4002 Winding Way"/>
    <m/>
    <x v="0"/>
    <x v="0"/>
    <x v="0"/>
    <s v="No"/>
  </r>
  <r>
    <n v="286"/>
    <x v="40"/>
    <s v="Sunday"/>
    <s v="Same"/>
    <n v="13.48"/>
    <n v="8.52"/>
    <n v="0.63204747774480707"/>
    <n v="1.5"/>
    <d v="1899-12-30T21:15:00"/>
    <d v="1899-12-30T21:28:00"/>
    <d v="1899-12-30T00:13:00"/>
    <n v="13"/>
    <s v="2356 Chelsea Drive"/>
    <m/>
    <x v="0"/>
    <x v="0"/>
    <x v="0"/>
    <s v="No"/>
  </r>
  <r>
    <n v="287"/>
    <x v="41"/>
    <s v="Friday"/>
    <s v="Different"/>
    <n v="230.25"/>
    <n v="30.75"/>
    <n v="0.13355048859934854"/>
    <n v="1.5"/>
    <d v="1899-12-30T17:30:00"/>
    <d v="1899-12-30T17:30:00"/>
    <d v="1899-12-30T00:00:00"/>
    <n v="0"/>
    <s v="5601 Granite Parkway"/>
    <n v="400"/>
    <x v="2"/>
    <x v="0"/>
    <x v="3"/>
    <s v="Yes"/>
  </r>
  <r>
    <n v="288"/>
    <x v="41"/>
    <s v="Friday"/>
    <s v="Same"/>
    <n v="35.56"/>
    <n v="4"/>
    <n v="0.11248593925759279"/>
    <n v="7"/>
    <d v="1899-12-30T17:58:00"/>
    <d v="1899-12-30T18:43:00"/>
    <d v="1899-12-30T00:45:00"/>
    <n v="45"/>
    <s v="13000 Railhead Court"/>
    <m/>
    <x v="0"/>
    <x v="0"/>
    <x v="0"/>
    <s v="No"/>
  </r>
  <r>
    <n v="289"/>
    <x v="41"/>
    <s v="Friday"/>
    <s v="Same"/>
    <n v="15.16"/>
    <n v="3.84"/>
    <n v="0.25329815303430075"/>
    <n v="1.5"/>
    <d v="1899-12-30T18:10:00"/>
    <d v="1899-12-30T19:03:00"/>
    <d v="1899-12-30T00:53:00"/>
    <n v="53"/>
    <s v="4460 Shamrock Drive"/>
    <m/>
    <x v="0"/>
    <x v="0"/>
    <x v="0"/>
    <s v="No"/>
  </r>
  <r>
    <n v="290"/>
    <x v="41"/>
    <s v="Friday"/>
    <s v="Same"/>
    <n v="30.2"/>
    <n v="5"/>
    <n v="0.16556291390728478"/>
    <n v="1.5"/>
    <d v="1899-12-30T18:59:00"/>
    <d v="1899-12-30T19:32:00"/>
    <d v="1899-12-30T00:33:00"/>
    <n v="33"/>
    <s v="3600 Crownhill Drive"/>
    <m/>
    <x v="2"/>
    <x v="0"/>
    <x v="0"/>
    <s v="No"/>
  </r>
  <r>
    <n v="291"/>
    <x v="41"/>
    <s v="Friday"/>
    <s v="Same"/>
    <n v="18.399999999999999"/>
    <n v="5"/>
    <n v="0.27173913043478265"/>
    <n v="1.5"/>
    <d v="1899-12-30T19:40:00"/>
    <d v="1899-12-30T20:03:00"/>
    <d v="1899-12-30T00:23:00"/>
    <n v="23.000000000000004"/>
    <s v="4169 Squaw Creek"/>
    <m/>
    <x v="0"/>
    <x v="0"/>
    <x v="0"/>
    <s v="No"/>
  </r>
  <r>
    <n v="292"/>
    <x v="41"/>
    <s v="Friday"/>
    <s v="Same"/>
    <n v="29.77"/>
    <n v="5"/>
    <n v="0.16795431642593214"/>
    <n v="1.5"/>
    <d v="1899-12-30T20:19:00"/>
    <d v="1899-12-30T20:43:00"/>
    <d v="1899-12-30T00:24:00"/>
    <n v="24"/>
    <s v="7500 Parkwood Blvd"/>
    <n v="337"/>
    <x v="2"/>
    <x v="0"/>
    <x v="2"/>
    <s v="No"/>
  </r>
  <r>
    <n v="293"/>
    <x v="42"/>
    <s v="Saturday"/>
    <s v="Different"/>
    <n v="31.88"/>
    <n v="2"/>
    <n v="6.2735257214554585E-2"/>
    <n v="1.5"/>
    <d v="1899-12-30T17:18:00"/>
    <d v="1899-12-30T17:43:00"/>
    <d v="1899-12-30T00:25:00"/>
    <n v="25"/>
    <s v="10912 Promise Land Drive"/>
    <m/>
    <x v="0"/>
    <x v="0"/>
    <x v="0"/>
    <s v="No"/>
  </r>
  <r>
    <n v="294"/>
    <x v="42"/>
    <s v="Saturday"/>
    <s v="Same"/>
    <n v="24.9"/>
    <n v="7"/>
    <n v="0.28112449799196787"/>
    <n v="1.5"/>
    <d v="1899-12-30T18:33:00"/>
    <d v="1899-12-30T19:05:00"/>
    <d v="1899-12-30T00:32:00"/>
    <n v="32"/>
    <s v="4537 Hitching Post Lane"/>
    <m/>
    <x v="2"/>
    <x v="0"/>
    <x v="0"/>
    <s v="No"/>
  </r>
  <r>
    <n v="295"/>
    <x v="42"/>
    <s v="Saturday"/>
    <s v="Same"/>
    <n v="31.39"/>
    <n v="6"/>
    <n v="0.19114367633004142"/>
    <n v="1.5"/>
    <d v="1899-12-30T19:37:00"/>
    <d v="1899-12-30T20:14:00"/>
    <d v="1899-12-30T00:37:00"/>
    <n v="37"/>
    <s v="5444 TX-121"/>
    <n v="240"/>
    <x v="0"/>
    <x v="0"/>
    <x v="2"/>
    <s v="No"/>
  </r>
  <r>
    <n v="296"/>
    <x v="42"/>
    <s v="Saturday"/>
    <s v="Same"/>
    <n v="28.36"/>
    <n v="5"/>
    <n v="0.1763046544428773"/>
    <n v="1.5"/>
    <d v="1899-12-30T19:44:00"/>
    <d v="1899-12-30T20:35:00"/>
    <d v="1899-12-30T00:51:00"/>
    <n v="51"/>
    <s v="5765 Bozeman Drive"/>
    <n v="3333"/>
    <x v="2"/>
    <x v="0"/>
    <x v="1"/>
    <s v="No"/>
  </r>
  <r>
    <n v="297"/>
    <x v="43"/>
    <s v="Sunday"/>
    <s v="Different"/>
    <n v="74.58"/>
    <n v="10"/>
    <n v="0.13408420488066505"/>
    <n v="5"/>
    <d v="1899-12-30T16:48:00"/>
    <d v="1899-12-30T17:23:00"/>
    <d v="1899-12-30T00:35:00"/>
    <n v="35"/>
    <s v="4816 Ray Roberts Drive"/>
    <m/>
    <x v="0"/>
    <x v="0"/>
    <x v="0"/>
    <s v="No"/>
  </r>
  <r>
    <n v="298"/>
    <x v="43"/>
    <s v="Sunday"/>
    <s v="Same"/>
    <n v="25.66"/>
    <n v="5.34"/>
    <n v="0.20810600155884645"/>
    <n v="1.5"/>
    <d v="1899-12-30T17:44:00"/>
    <d v="1899-12-30T18:30:00"/>
    <d v="1899-12-30T00:46:00"/>
    <n v="46.000000000000007"/>
    <s v="4529 Druid Hills Drive"/>
    <m/>
    <x v="0"/>
    <x v="0"/>
    <x v="0"/>
    <s v="No"/>
  </r>
  <r>
    <n v="299"/>
    <x v="43"/>
    <s v="Sunday"/>
    <s v="Same"/>
    <n v="25.66"/>
    <n v="5"/>
    <n v="0.19485580670303976"/>
    <n v="1.5"/>
    <d v="1899-12-30T17:57:00"/>
    <d v="1899-12-30T18:38:00"/>
    <d v="1899-12-30T00:41:00"/>
    <n v="41"/>
    <s v="3419 United Lane"/>
    <m/>
    <x v="0"/>
    <x v="4"/>
    <x v="0"/>
    <s v="No"/>
  </r>
  <r>
    <n v="300"/>
    <x v="43"/>
    <s v="Sunday"/>
    <s v="Same"/>
    <n v="54.13"/>
    <n v="5"/>
    <n v="9.2370219841123216E-2"/>
    <n v="1.5"/>
    <d v="1899-12-30T18:02:00"/>
    <d v="1899-12-30T18:48:00"/>
    <d v="1899-12-30T00:46:00"/>
    <n v="46.000000000000007"/>
    <s v="4840 Heritage Oaks Drive"/>
    <m/>
    <x v="0"/>
    <x v="2"/>
    <x v="0"/>
    <s v="No"/>
  </r>
  <r>
    <n v="301"/>
    <x v="43"/>
    <s v="Sunday"/>
    <s v="Same"/>
    <n v="20.51"/>
    <n v="4"/>
    <n v="0.19502681618722573"/>
    <n v="1.5"/>
    <d v="1899-12-30T18:52:00"/>
    <d v="1899-12-30T19:24:00"/>
    <d v="1899-12-30T00:32:00"/>
    <n v="32"/>
    <s v="9100 Independence Parkway"/>
    <n v="204"/>
    <x v="2"/>
    <x v="0"/>
    <x v="1"/>
    <s v="No"/>
  </r>
  <r>
    <n v="302"/>
    <x v="43"/>
    <s v="Sunday"/>
    <s v="Same"/>
    <n v="24.84"/>
    <n v="4"/>
    <n v="0.1610305958132045"/>
    <n v="1.5"/>
    <d v="1899-12-30T20:03:00"/>
    <d v="1899-12-30T20:37:00"/>
    <d v="1899-12-30T00:34:00"/>
    <n v="34"/>
    <s v="7997 Wade Blvd"/>
    <n v="1013"/>
    <x v="0"/>
    <x v="0"/>
    <x v="1"/>
    <s v="No"/>
  </r>
  <r>
    <n v="303"/>
    <x v="43"/>
    <s v="Sunday"/>
    <s v="Same"/>
    <n v="18.62"/>
    <n v="4"/>
    <n v="0.21482277121374865"/>
    <n v="1.5"/>
    <d v="1899-12-30T20:05:00"/>
    <d v="1899-12-30T20:47:00"/>
    <d v="1899-12-30T00:42:00"/>
    <n v="42"/>
    <s v="11066 Clearstream Lane"/>
    <m/>
    <x v="0"/>
    <x v="0"/>
    <x v="0"/>
    <s v="No"/>
  </r>
  <r>
    <n v="304"/>
    <x v="43"/>
    <s v="Sunday"/>
    <s v="Same"/>
    <n v="43.25"/>
    <n v="5"/>
    <n v="0.11560693641618497"/>
    <n v="1.5"/>
    <d v="1899-12-30T21:27:00"/>
    <d v="1899-12-30T21:51:00"/>
    <d v="1899-12-30T00:24:00"/>
    <n v="24"/>
    <s v="5745 Bozeman Drive"/>
    <n v="8372"/>
    <x v="2"/>
    <x v="0"/>
    <x v="1"/>
    <s v="No"/>
  </r>
  <r>
    <n v="305"/>
    <x v="44"/>
    <s v="Sunday"/>
    <s v="Different"/>
    <n v="34.64"/>
    <n v="10"/>
    <n v="0.28868360277136257"/>
    <n v="1.5"/>
    <d v="1899-12-30T16:20:00"/>
    <d v="1899-12-30T17:05:00"/>
    <d v="1899-12-30T00:45:00"/>
    <n v="45"/>
    <s v="6805 Lebanon Road"/>
    <n v="1335"/>
    <x v="0"/>
    <x v="0"/>
    <x v="1"/>
    <s v="No"/>
  </r>
  <r>
    <n v="306"/>
    <x v="44"/>
    <s v="Sunday"/>
    <s v="Same"/>
    <n v="43.73"/>
    <n v="4"/>
    <n v="9.1470386462382813E-2"/>
    <n v="1.5"/>
    <d v="1899-12-30T17:30:00"/>
    <d v="1899-12-30T17:52:00"/>
    <d v="1899-12-30T00:22:00"/>
    <n v="22"/>
    <s v="5909 Louisville Drive"/>
    <m/>
    <x v="0"/>
    <x v="0"/>
    <x v="0"/>
    <s v="No"/>
  </r>
  <r>
    <n v="307"/>
    <x v="44"/>
    <s v="Sunday"/>
    <s v="Same"/>
    <n v="29.17"/>
    <n v="3"/>
    <n v="0.10284538909838875"/>
    <n v="1.5"/>
    <d v="1899-12-30T18:04:00"/>
    <d v="1899-12-30T18:36:00"/>
    <d v="1899-12-30T00:32:00"/>
    <n v="32"/>
    <s v="3229 Edwards Drive"/>
    <m/>
    <x v="2"/>
    <x v="0"/>
    <x v="0"/>
    <s v="No"/>
  </r>
  <r>
    <n v="308"/>
    <x v="44"/>
    <s v="Sunday"/>
    <s v="Same"/>
    <n v="32.75"/>
    <n v="5"/>
    <n v="0.15267175572519084"/>
    <n v="1.5"/>
    <d v="1899-12-30T18:48:00"/>
    <d v="1899-12-30T19:08:00"/>
    <d v="1899-12-30T00:20:00"/>
    <n v="20"/>
    <s v="10013 Ashmont Drive"/>
    <m/>
    <x v="0"/>
    <x v="0"/>
    <x v="0"/>
    <s v="No"/>
  </r>
  <r>
    <n v="309"/>
    <x v="44"/>
    <s v="Sunday"/>
    <s v="Same"/>
    <n v="36.43"/>
    <n v="7"/>
    <n v="0.19214932747735383"/>
    <n v="1.5"/>
    <d v="1899-12-30T19:05:00"/>
    <d v="1899-12-30T19:38:00"/>
    <d v="1899-12-30T00:33:00"/>
    <n v="33"/>
    <s v="11204 New Orleans Drive"/>
    <m/>
    <x v="0"/>
    <x v="0"/>
    <x v="0"/>
    <s v="No"/>
  </r>
  <r>
    <n v="310"/>
    <x v="44"/>
    <s v="Sunday"/>
    <s v="Same"/>
    <n v="43.25"/>
    <n v="11.75"/>
    <n v="0.27167630057803466"/>
    <n v="1.5"/>
    <d v="1899-12-30T19:58:00"/>
    <d v="1899-12-30T20:26:00"/>
    <d v="1899-12-30T00:28:00"/>
    <n v="28"/>
    <s v="7600 John Q Hammons Blvd"/>
    <n v="1107"/>
    <x v="0"/>
    <x v="0"/>
    <x v="2"/>
    <s v="No"/>
  </r>
  <r>
    <n v="311"/>
    <x v="44"/>
    <s v="Sunday"/>
    <s v="Same"/>
    <n v="55.69"/>
    <n v="8"/>
    <n v="0.14365236128568865"/>
    <n v="7"/>
    <d v="1899-12-30T19:54:00"/>
    <d v="1899-12-30T20:46:00"/>
    <d v="1899-12-30T00:52:00"/>
    <n v="52"/>
    <s v="14247 Santa Ann Street"/>
    <m/>
    <x v="0"/>
    <x v="0"/>
    <x v="0"/>
    <s v="No"/>
  </r>
  <r>
    <n v="312"/>
    <x v="44"/>
    <s v="Sunday"/>
    <s v="Same"/>
    <n v="34.32"/>
    <n v="10"/>
    <n v="0.29137529137529139"/>
    <n v="1.5"/>
    <d v="1899-12-30T21:03:00"/>
    <d v="1899-12-30T21:41:00"/>
    <d v="1899-12-30T00:38:00"/>
    <n v="38"/>
    <s v="2138 Kennedy Drive"/>
    <m/>
    <x v="0"/>
    <x v="0"/>
    <x v="0"/>
    <s v="No"/>
  </r>
  <r>
    <n v="313"/>
    <x v="44"/>
    <s v="Sunday"/>
    <s v="Same"/>
    <n v="24.03"/>
    <n v="4.97"/>
    <n v="0.20682480233042028"/>
    <n v="7"/>
    <d v="1899-12-30T21:12:00"/>
    <d v="1899-12-30T21:59:00"/>
    <d v="1899-12-30T00:47:00"/>
    <n v="47.000000000000007"/>
    <s v="12447 Hollister Drive"/>
    <m/>
    <x v="0"/>
    <x v="0"/>
    <x v="0"/>
    <s v="No"/>
  </r>
  <r>
    <n v="314"/>
    <x v="44"/>
    <s v="Sunday"/>
    <s v="Same"/>
    <n v="36.159999999999997"/>
    <n v="5.84"/>
    <n v="0.16150442477876106"/>
    <n v="1.5"/>
    <d v="1899-12-30T21:47:00"/>
    <d v="1899-12-30T22:38:00"/>
    <d v="1899-12-30T00:51:00"/>
    <n v="51"/>
    <s v="8500 Forest Highlands Drive"/>
    <m/>
    <x v="2"/>
    <x v="0"/>
    <x v="0"/>
    <s v="No"/>
  </r>
  <r>
    <n v="315"/>
    <x v="45"/>
    <s v="Friday"/>
    <s v="Different"/>
    <n v="19.43"/>
    <n v="6"/>
    <n v="0.30880082346886256"/>
    <n v="1.5"/>
    <d v="1899-12-30T17:32:00"/>
    <d v="1899-12-30T17:59:00"/>
    <d v="1899-12-30T00:27:00"/>
    <n v="26.999999999999996"/>
    <s v="4672 Parma Lane"/>
    <m/>
    <x v="0"/>
    <x v="0"/>
    <x v="0"/>
    <s v="No"/>
  </r>
  <r>
    <n v="316"/>
    <x v="45"/>
    <s v="Friday"/>
    <s v="Same"/>
    <n v="32.75"/>
    <n v="5"/>
    <n v="0.15267175572519084"/>
    <n v="1.5"/>
    <d v="1899-12-30T18:16:00"/>
    <d v="1899-12-30T18:50:00"/>
    <d v="1899-12-30T00:34:00"/>
    <n v="34"/>
    <s v="2338 Chelsea Drive"/>
    <m/>
    <x v="0"/>
    <x v="0"/>
    <x v="0"/>
    <s v="No"/>
  </r>
  <r>
    <n v="317"/>
    <x v="45"/>
    <s v="Friday"/>
    <s v="Same"/>
    <n v="40.54"/>
    <n v="5"/>
    <n v="0.123334977799704"/>
    <n v="1.5"/>
    <d v="1899-12-30T18:22:00"/>
    <d v="1899-12-30T19:00:00"/>
    <d v="1899-12-30T00:38:00"/>
    <n v="38"/>
    <s v="105 Myers Avenue"/>
    <m/>
    <x v="0"/>
    <x v="0"/>
    <x v="0"/>
    <s v="No"/>
  </r>
  <r>
    <n v="318"/>
    <x v="45"/>
    <s v="Friday"/>
    <s v="Same"/>
    <n v="64.84"/>
    <n v="12"/>
    <n v="0.18507094386181369"/>
    <n v="1.5"/>
    <d v="1899-12-30T18:24:00"/>
    <d v="1899-12-30T19:17:00"/>
    <d v="1899-12-30T00:53:00"/>
    <n v="53"/>
    <s v="5917 Orchard Park Drive"/>
    <m/>
    <x v="0"/>
    <x v="2"/>
    <x v="0"/>
    <s v="No"/>
  </r>
  <r>
    <n v="319"/>
    <x v="45"/>
    <s v="Friday"/>
    <s v="Same"/>
    <n v="109.87"/>
    <n v="10.130000000000001"/>
    <n v="9.2199872576681538E-2"/>
    <n v="5"/>
    <d v="1899-12-30T18:14:00"/>
    <d v="1899-12-30T19:30:00"/>
    <d v="1899-12-30T01:16:00"/>
    <n v="76"/>
    <s v="1488 Heather Brook Drive"/>
    <m/>
    <x v="0"/>
    <x v="0"/>
    <x v="0"/>
    <s v="No"/>
  </r>
  <r>
    <n v="320"/>
    <x v="45"/>
    <s v="Friday"/>
    <s v="Same"/>
    <n v="37.83"/>
    <n v="5"/>
    <n v="0.13217023526301877"/>
    <n v="1.5"/>
    <d v="1899-12-30T19:29:00"/>
    <d v="1899-12-30T20:12:00"/>
    <d v="1899-12-30T00:43:00"/>
    <n v="43"/>
    <s v="3600 Crownhill Drive"/>
    <m/>
    <x v="2"/>
    <x v="0"/>
    <x v="0"/>
    <s v="No"/>
  </r>
  <r>
    <n v="321"/>
    <x v="45"/>
    <s v="Friday"/>
    <s v="Same"/>
    <n v="19.489999999999998"/>
    <n v="10.51"/>
    <n v="0.53925089789635716"/>
    <n v="1.5"/>
    <d v="1899-12-30T20:24:00"/>
    <d v="1899-12-30T20:39:00"/>
    <d v="1899-12-30T00:15:00"/>
    <n v="15"/>
    <s v="2356 Chelsea Drive"/>
    <m/>
    <x v="0"/>
    <x v="0"/>
    <x v="0"/>
    <s v="No"/>
  </r>
  <r>
    <n v="322"/>
    <x v="45"/>
    <s v="Friday"/>
    <s v="Same"/>
    <n v="46.71"/>
    <n v="8"/>
    <n v="0.17126953543138515"/>
    <n v="1.5"/>
    <d v="1899-12-30T20:07:00"/>
    <d v="1899-12-30T20:48:00"/>
    <d v="1899-12-30T00:41:00"/>
    <n v="41"/>
    <s v="5783 Versailles Avenue"/>
    <m/>
    <x v="0"/>
    <x v="3"/>
    <x v="0"/>
    <s v="No"/>
  </r>
  <r>
    <n v="323"/>
    <x v="45"/>
    <s v="Friday"/>
    <s v="Same"/>
    <n v="23.76"/>
    <n v="20"/>
    <n v="0.84175084175084169"/>
    <n v="5"/>
    <d v="1899-12-30T20:02:00"/>
    <d v="1899-12-30T21:06:00"/>
    <d v="1899-12-30T01:04:00"/>
    <n v="64"/>
    <s v="9822 Ranchero Drive"/>
    <m/>
    <x v="0"/>
    <x v="0"/>
    <x v="0"/>
    <s v="No"/>
  </r>
  <r>
    <n v="324"/>
    <x v="46"/>
    <s v="Saturday"/>
    <s v="Different"/>
    <n v="203.15"/>
    <n v="25"/>
    <n v="0.12306177701206004"/>
    <n v="7"/>
    <d v="1899-12-30T17:52:00"/>
    <d v="1899-12-30T18:30:00"/>
    <d v="1899-12-30T00:38:00"/>
    <n v="38"/>
    <s v="11956 Bamberg Lane"/>
    <m/>
    <x v="0"/>
    <x v="0"/>
    <x v="0"/>
    <s v="No"/>
  </r>
  <r>
    <n v="325"/>
    <x v="46"/>
    <s v="Saturday"/>
    <s v="Same"/>
    <n v="28.09"/>
    <n v="10"/>
    <n v="0.35599857600569595"/>
    <n v="1.5"/>
    <d v="1899-12-30T18:59:00"/>
    <d v="1899-12-30T19:43:00"/>
    <d v="1899-12-30T00:44:00"/>
    <n v="44"/>
    <s v="9209 Warm Springs Circle"/>
    <m/>
    <x v="2"/>
    <x v="0"/>
    <x v="0"/>
    <s v="No"/>
  </r>
  <r>
    <n v="326"/>
    <x v="46"/>
    <s v="Saturday"/>
    <s v="Same"/>
    <n v="43.52"/>
    <n v="8"/>
    <n v="0.18382352941176469"/>
    <n v="1.5"/>
    <d v="1899-12-30T19:48:00"/>
    <d v="1899-12-30T20:24:00"/>
    <d v="1899-12-30T00:36:00"/>
    <n v="36"/>
    <s v="6 Southern Hills Court"/>
    <m/>
    <x v="0"/>
    <x v="1"/>
    <x v="0"/>
    <s v="No"/>
  </r>
  <r>
    <n v="327"/>
    <x v="46"/>
    <s v="Saturday"/>
    <s v="Same"/>
    <n v="65.44"/>
    <n v="6.56"/>
    <n v="0.10024449877750612"/>
    <n v="5"/>
    <d v="1899-12-30T19:37:00"/>
    <d v="1899-12-30T20:38:00"/>
    <d v="1899-12-30T01:01:00"/>
    <n v="61"/>
    <s v="7989 Bishop Drive"/>
    <m/>
    <x v="0"/>
    <x v="0"/>
    <x v="0"/>
    <s v="No"/>
  </r>
  <r>
    <n v="328"/>
    <x v="46"/>
    <s v="Saturday"/>
    <s v="Same"/>
    <n v="59.16"/>
    <n v="8"/>
    <n v="0.13522650439486139"/>
    <n v="1.5"/>
    <d v="1899-12-30T19:56:00"/>
    <d v="1899-12-30T20:54:00"/>
    <d v="1899-12-30T00:58:00"/>
    <n v="58.000000000000007"/>
    <s v="7980 Canal Street"/>
    <m/>
    <x v="0"/>
    <x v="0"/>
    <x v="1"/>
    <s v="No"/>
  </r>
  <r>
    <n v="329"/>
    <x v="46"/>
    <s v="Saturday"/>
    <s v="Same"/>
    <n v="28.9"/>
    <n v="5.0999999999999996"/>
    <n v="0.1764705882352941"/>
    <n v="1.5"/>
    <d v="1899-12-30T21:31:00"/>
    <d v="1899-12-30T21:53:00"/>
    <d v="1899-12-30T00:22:00"/>
    <n v="22"/>
    <s v="7550 Gaylord Parkway"/>
    <m/>
    <x v="0"/>
    <x v="0"/>
    <x v="2"/>
    <s v="No"/>
  </r>
  <r>
    <n v="330"/>
    <x v="47"/>
    <s v="Sunday"/>
    <s v="Different"/>
    <n v="22.41"/>
    <n v="3"/>
    <n v="0.13386880856760375"/>
    <n v="5"/>
    <d v="1899-12-30T16:25:00"/>
    <d v="1899-12-30T17:00:00"/>
    <d v="1899-12-30T00:35:00"/>
    <n v="35"/>
    <s v="9611 Custer Road"/>
    <n v="2116"/>
    <x v="2"/>
    <x v="0"/>
    <x v="1"/>
    <s v="No"/>
  </r>
  <r>
    <n v="331"/>
    <x v="47"/>
    <s v="Sunday"/>
    <s v="Same"/>
    <n v="34.64"/>
    <n v="4"/>
    <n v="0.11547344110854503"/>
    <n v="1.5"/>
    <d v="1899-12-30T17:41:00"/>
    <d v="1899-12-30T18:15:00"/>
    <d v="1899-12-30T00:34:00"/>
    <n v="34"/>
    <s v="6848 Regello Drive"/>
    <m/>
    <x v="0"/>
    <x v="0"/>
    <x v="0"/>
    <s v="No"/>
  </r>
  <r>
    <n v="332"/>
    <x v="47"/>
    <s v="Sunday"/>
    <s v="Same"/>
    <n v="29.23"/>
    <n v="3"/>
    <n v="0.10263427984946973"/>
    <n v="1.5"/>
    <d v="1899-12-30T17:43:00"/>
    <d v="1899-12-30T18:22:00"/>
    <d v="1899-12-30T00:39:00"/>
    <n v="39"/>
    <s v="409 Rosehill Lane"/>
    <n v="409"/>
    <x v="0"/>
    <x v="0"/>
    <x v="1"/>
    <s v="No"/>
  </r>
  <r>
    <n v="333"/>
    <x v="47"/>
    <s v="Sunday"/>
    <s v="Same"/>
    <n v="80.97"/>
    <n v="7"/>
    <n v="8.6451772261331356E-2"/>
    <n v="5"/>
    <d v="1899-12-30T17:45:00"/>
    <d v="1899-12-30T18:32:00"/>
    <d v="1899-12-30T00:47:00"/>
    <n v="47.000000000000007"/>
    <s v="5694 Highflyer Hills Trail"/>
    <m/>
    <x v="0"/>
    <x v="0"/>
    <x v="0"/>
    <s v="No"/>
  </r>
  <r>
    <n v="334"/>
    <x v="47"/>
    <s v="Sunday"/>
    <s v="Same"/>
    <n v="44.38"/>
    <n v="10"/>
    <n v="0.22532672374943666"/>
    <n v="1.5"/>
    <d v="1899-12-30T18:26:00"/>
    <d v="1899-12-30T19:12:00"/>
    <d v="1899-12-30T00:46:00"/>
    <n v="46.000000000000007"/>
    <s v="11264 Clover Knoll Drive"/>
    <m/>
    <x v="0"/>
    <x v="0"/>
    <x v="0"/>
    <s v="No"/>
  </r>
  <r>
    <n v="335"/>
    <x v="47"/>
    <s v="Sunday"/>
    <s v="Same"/>
    <n v="33.229999999999997"/>
    <n v="5"/>
    <n v="0.15046644598254591"/>
    <n v="1.5"/>
    <d v="1899-12-30T18:55:00"/>
    <d v="1899-12-30T19:48:00"/>
    <d v="1899-12-30T00:53:00"/>
    <n v="53"/>
    <s v="4280 Wellesley Drive"/>
    <m/>
    <x v="0"/>
    <x v="0"/>
    <x v="0"/>
    <s v="No"/>
  </r>
  <r>
    <n v="336"/>
    <x v="47"/>
    <s v="Sunday"/>
    <s v="Same"/>
    <n v="23.82"/>
    <n v="5"/>
    <n v="0.20990764063811923"/>
    <n v="1.5"/>
    <d v="1899-12-30T19:02:00"/>
    <d v="1899-12-30T19:58:00"/>
    <d v="1899-12-30T00:56:00"/>
    <n v="56"/>
    <s v="6706 Livorno Lane"/>
    <m/>
    <x v="0"/>
    <x v="0"/>
    <x v="0"/>
    <s v="No"/>
  </r>
  <r>
    <n v="337"/>
    <x v="47"/>
    <s v="Sunday"/>
    <s v="Same"/>
    <n v="19.7"/>
    <n v="5.3"/>
    <n v="0.26903553299492383"/>
    <n v="1.5"/>
    <d v="1899-12-30T19:01:00"/>
    <d v="1899-12-30T20:06:00"/>
    <d v="1899-12-30T01:05:00"/>
    <n v="65"/>
    <s v="4104 Navarro Way"/>
    <m/>
    <x v="0"/>
    <x v="0"/>
    <x v="0"/>
    <s v="No"/>
  </r>
  <r>
    <n v="338"/>
    <x v="47"/>
    <s v="Sunday"/>
    <s v="Same"/>
    <n v="41.03"/>
    <n v="8"/>
    <n v="0.1949792834511333"/>
    <n v="5"/>
    <d v="1899-12-30T19:04:00"/>
    <d v="1899-12-30T20:17:00"/>
    <d v="1899-12-30T01:13:00"/>
    <n v="73"/>
    <s v="6334 Pitchfork Ranch Road"/>
    <m/>
    <x v="0"/>
    <x v="0"/>
    <x v="0"/>
    <s v="No"/>
  </r>
  <r>
    <n v="339"/>
    <x v="47"/>
    <s v="Sunday"/>
    <s v="Same"/>
    <n v="18.89"/>
    <n v="4"/>
    <n v="0.21175224986765484"/>
    <n v="5"/>
    <d v="1899-12-30T20:39:00"/>
    <d v="1899-12-30T21:07:00"/>
    <d v="1899-12-30T00:28:00"/>
    <n v="28"/>
    <s v="9100 Independence Parkway"/>
    <n v="204"/>
    <x v="2"/>
    <x v="0"/>
    <x v="1"/>
    <s v="No"/>
  </r>
  <r>
    <n v="340"/>
    <x v="48"/>
    <s v="Friday"/>
    <s v="Different"/>
    <n v="37.29"/>
    <n v="10"/>
    <n v="0.26816840976133011"/>
    <n v="1.5"/>
    <d v="1899-12-30T17:53:00"/>
    <d v="1899-12-30T18:15:00"/>
    <d v="1899-12-30T00:22:00"/>
    <n v="22"/>
    <s v="5400 Widgeon Way"/>
    <m/>
    <x v="0"/>
    <x v="2"/>
    <x v="0"/>
    <s v="No"/>
  </r>
  <r>
    <n v="341"/>
    <x v="48"/>
    <s v="Friday"/>
    <s v="Same"/>
    <n v="47.79"/>
    <n v="11"/>
    <n v="0.23017367650136011"/>
    <n v="1.5"/>
    <d v="1899-12-30T17:42:00"/>
    <d v="1899-12-30T18:23:00"/>
    <d v="1899-12-30T00:41:00"/>
    <n v="41"/>
    <s v="4880 Heritage Oaks Drive"/>
    <m/>
    <x v="0"/>
    <x v="2"/>
    <x v="0"/>
    <s v="No"/>
  </r>
  <r>
    <n v="342"/>
    <x v="48"/>
    <s v="Friday"/>
    <s v="Same"/>
    <n v="18.62"/>
    <n v="5"/>
    <n v="0.26852846401718583"/>
    <n v="1.5"/>
    <d v="1899-12-30T17:54:00"/>
    <d v="1899-12-30T18:34:00"/>
    <d v="1899-12-30T00:40:00"/>
    <n v="40"/>
    <s v="1649 Morris Lane"/>
    <m/>
    <x v="0"/>
    <x v="0"/>
    <x v="0"/>
    <s v="No"/>
  </r>
  <r>
    <n v="343"/>
    <x v="48"/>
    <s v="Friday"/>
    <s v="Same"/>
    <n v="34.32"/>
    <n v="4"/>
    <n v="0.11655011655011654"/>
    <n v="1.5"/>
    <d v="1899-12-30T18:56:00"/>
    <d v="1899-12-30T19:19:00"/>
    <d v="1899-12-30T00:23:00"/>
    <n v="23.000000000000004"/>
    <s v="3153 Hampshire Court"/>
    <m/>
    <x v="0"/>
    <x v="1"/>
    <x v="0"/>
    <s v="No"/>
  </r>
  <r>
    <n v="344"/>
    <x v="48"/>
    <s v="Friday"/>
    <s v="Same"/>
    <n v="36.479999999999997"/>
    <n v="6.52"/>
    <n v="0.1787280701754386"/>
    <n v="5"/>
    <d v="1899-12-30T18:41:00"/>
    <d v="1899-12-30T19:34:00"/>
    <d v="1899-12-30T00:53:00"/>
    <n v="53"/>
    <s v="3331 Leatherwood Drive"/>
    <m/>
    <x v="0"/>
    <x v="0"/>
    <x v="0"/>
    <s v="No"/>
  </r>
  <r>
    <n v="345"/>
    <x v="48"/>
    <s v="Friday"/>
    <s v="Same"/>
    <n v="62.19"/>
    <n v="8"/>
    <n v="0.12863804470172055"/>
    <n v="5"/>
    <d v="1899-12-30T18:44:00"/>
    <d v="1899-12-30T19:42:00"/>
    <d v="1899-12-30T00:58:00"/>
    <n v="58.000000000000007"/>
    <s v="1418 Wildfire Lane"/>
    <m/>
    <x v="0"/>
    <x v="0"/>
    <x v="0"/>
    <s v="No"/>
  </r>
  <r>
    <n v="346"/>
    <x v="48"/>
    <s v="Friday"/>
    <s v="Same"/>
    <n v="30.53"/>
    <n v="5"/>
    <n v="0.16377333770062233"/>
    <n v="1.5"/>
    <d v="1899-12-30T19:55:00"/>
    <d v="1899-12-30T20:34:00"/>
    <d v="1899-12-30T00:39:00"/>
    <n v="39"/>
    <s v="5200 Town and Country Blvd"/>
    <n v="1533"/>
    <x v="0"/>
    <x v="0"/>
    <x v="1"/>
    <s v="No"/>
  </r>
  <r>
    <n v="347"/>
    <x v="48"/>
    <s v="Friday"/>
    <s v="Same"/>
    <n v="25.66"/>
    <n v="4"/>
    <n v="0.1558846453624318"/>
    <n v="1.5"/>
    <d v="1899-12-30T20:08:00"/>
    <d v="1899-12-30T20:42:00"/>
    <d v="1899-12-30T00:34:00"/>
    <n v="34"/>
    <s v="5200 Town and Country Blvd"/>
    <n v="2010"/>
    <x v="0"/>
    <x v="0"/>
    <x v="1"/>
    <s v="No"/>
  </r>
  <r>
    <n v="348"/>
    <x v="48"/>
    <s v="Friday"/>
    <s v="Same"/>
    <n v="73.23"/>
    <n v="10"/>
    <n v="0.13655605626109518"/>
    <n v="1.5"/>
    <d v="1899-12-30T19:56:00"/>
    <d v="1899-12-30T20:53:00"/>
    <d v="1899-12-30T00:57:00"/>
    <n v="57"/>
    <s v="8 Bermuda Dunes Court"/>
    <m/>
    <x v="0"/>
    <x v="1"/>
    <x v="0"/>
    <s v="No"/>
  </r>
  <r>
    <n v="349"/>
    <x v="48"/>
    <s v="Friday"/>
    <s v="Same"/>
    <n v="22.95"/>
    <n v="4.05"/>
    <n v="0.17647058823529413"/>
    <n v="1.5"/>
    <d v="1899-12-30T20:06:00"/>
    <d v="1899-12-30T21:03:00"/>
    <d v="1899-12-30T00:57:00"/>
    <n v="57"/>
    <s v="4116 Sardinia Way"/>
    <m/>
    <x v="0"/>
    <x v="0"/>
    <x v="0"/>
    <s v="No"/>
  </r>
  <r>
    <n v="350"/>
    <x v="49"/>
    <s v="Saturday"/>
    <s v="Different"/>
    <n v="16.18"/>
    <n v="4"/>
    <n v="0.24721878862793573"/>
    <n v="1.5"/>
    <d v="1899-12-30T16:57:00"/>
    <d v="1899-12-30T17:24:00"/>
    <d v="1899-12-30T00:27:00"/>
    <n v="26.999999999999996"/>
    <s v="11066 Clearstream Lane"/>
    <m/>
    <x v="0"/>
    <x v="0"/>
    <x v="0"/>
    <s v="No"/>
  </r>
  <r>
    <n v="351"/>
    <x v="49"/>
    <s v="Saturday"/>
    <s v="Same"/>
    <n v="35.4"/>
    <n v="4.5999999999999996"/>
    <n v="0.12994350282485875"/>
    <n v="1.5"/>
    <d v="1899-12-30T18:01:00"/>
    <d v="1899-12-30T18:31:00"/>
    <d v="1899-12-30T00:30:00"/>
    <n v="30"/>
    <s v="6853 North Dallas Parkway"/>
    <m/>
    <x v="2"/>
    <x v="0"/>
    <x v="2"/>
    <s v="No"/>
  </r>
  <r>
    <n v="352"/>
    <x v="49"/>
    <s v="Saturday"/>
    <s v="Same"/>
    <n v="34.32"/>
    <n v="5"/>
    <n v="0.14568764568764569"/>
    <n v="1.5"/>
    <d v="1899-12-30T19:14:00"/>
    <d v="1899-12-30T19:42:00"/>
    <d v="1899-12-30T00:28:00"/>
    <n v="28"/>
    <s v="3419 United Lane"/>
    <m/>
    <x v="0"/>
    <x v="4"/>
    <x v="0"/>
    <s v="No"/>
  </r>
  <r>
    <n v="353"/>
    <x v="49"/>
    <s v="Saturday"/>
    <s v="Same"/>
    <n v="25.38"/>
    <n v="10"/>
    <n v="0.39401103230890466"/>
    <n v="1.5"/>
    <d v="1899-12-30T18:58:00"/>
    <d v="1899-12-30T19:50:00"/>
    <d v="1899-12-30T00:52:00"/>
    <n v="52"/>
    <s v="3933 Frio Way"/>
    <m/>
    <x v="0"/>
    <x v="0"/>
    <x v="0"/>
    <s v="No"/>
  </r>
  <r>
    <n v="354"/>
    <x v="49"/>
    <s v="Saturday"/>
    <s v="Same"/>
    <n v="68.680000000000007"/>
    <n v="6"/>
    <n v="8.7361677344204997E-2"/>
    <n v="1.5"/>
    <d v="1899-12-30T19:03:00"/>
    <d v="1899-12-30T19:59:00"/>
    <d v="1899-12-30T00:56:00"/>
    <n v="56"/>
    <s v="4340 Florentine Lane"/>
    <m/>
    <x v="0"/>
    <x v="0"/>
    <x v="0"/>
    <s v="No"/>
  </r>
  <r>
    <n v="355"/>
    <x v="49"/>
    <s v="Saturday"/>
    <s v="Same"/>
    <n v="34.86"/>
    <n v="6"/>
    <n v="0.1721170395869191"/>
    <n v="5"/>
    <d v="1899-12-30T19:03:00"/>
    <d v="1899-12-30T20:06:00"/>
    <d v="1899-12-30T01:03:00"/>
    <n v="63"/>
    <s v="2307 Idlewild Drive"/>
    <m/>
    <x v="0"/>
    <x v="0"/>
    <x v="0"/>
    <s v="No"/>
  </r>
  <r>
    <n v="356"/>
    <x v="49"/>
    <s v="Saturday"/>
    <s v="Same"/>
    <n v="39.97"/>
    <n v="7"/>
    <n v="0.17513134851138354"/>
    <n v="1.5"/>
    <d v="1899-12-30T20:05:00"/>
    <d v="1899-12-30T20:40:00"/>
    <d v="1899-12-30T00:35:00"/>
    <n v="35"/>
    <s v="3675 Gaylord Parkway"/>
    <m/>
    <x v="0"/>
    <x v="0"/>
    <x v="3"/>
    <s v="No"/>
  </r>
  <r>
    <n v="357"/>
    <x v="50"/>
    <s v="Sunday"/>
    <s v="Different"/>
    <n v="27.06"/>
    <n v="6"/>
    <n v="0.22172949002217296"/>
    <n v="1.5"/>
    <d v="1899-12-30T17:23:00"/>
    <d v="1899-12-30T17:58:00"/>
    <d v="1899-12-30T00:35:00"/>
    <n v="35"/>
    <s v="4580 Adrian Way"/>
    <m/>
    <x v="2"/>
    <x v="0"/>
    <x v="0"/>
    <s v="No"/>
  </r>
  <r>
    <n v="358"/>
    <x v="50"/>
    <s v="Sunday"/>
    <s v="Same"/>
    <n v="57.75"/>
    <n v="6"/>
    <n v="0.1038961038961039"/>
    <n v="1.5"/>
    <d v="1899-12-30T17:33:00"/>
    <d v="1899-12-30T18:04:00"/>
    <d v="1899-12-30T00:31:00"/>
    <n v="31.000000000000004"/>
    <s v="4648 Crystal Creek Drive"/>
    <m/>
    <x v="2"/>
    <x v="0"/>
    <x v="0"/>
    <s v="No"/>
  </r>
  <r>
    <n v="359"/>
    <x v="50"/>
    <s v="Sunday"/>
    <s v="Same"/>
    <n v="19.7"/>
    <n v="4"/>
    <n v="0.20304568527918782"/>
    <n v="1.5"/>
    <d v="1899-12-30T18:12:00"/>
    <d v="1899-12-30T19:07:00"/>
    <d v="1899-12-30T00:55:00"/>
    <n v="54.999999999999993"/>
    <s v="6960 Sumner Street"/>
    <n v="212"/>
    <x v="3"/>
    <x v="0"/>
    <x v="1"/>
    <s v="No"/>
  </r>
  <r>
    <n v="360"/>
    <x v="50"/>
    <s v="Sunday"/>
    <s v="Same"/>
    <n v="41.89"/>
    <n v="11.11"/>
    <n v="0.2652184292193841"/>
    <n v="1.5"/>
    <d v="1899-12-30T18:58:00"/>
    <d v="1899-12-30T19:38:00"/>
    <d v="1899-12-30T00:40:00"/>
    <n v="40"/>
    <s v="6853 North Dallas Parkway"/>
    <m/>
    <x v="2"/>
    <x v="0"/>
    <x v="2"/>
    <s v="No"/>
  </r>
  <r>
    <n v="361"/>
    <x v="50"/>
    <s v="Sunday"/>
    <s v="Same"/>
    <n v="24.84"/>
    <n v="5"/>
    <n v="0.20128824476650564"/>
    <n v="1.5"/>
    <d v="1899-12-30T19:30:00"/>
    <d v="1899-12-30T20:06:00"/>
    <d v="1899-12-30T00:36:00"/>
    <n v="36"/>
    <s v="5701 Lake District Drive"/>
    <n v="16"/>
    <x v="3"/>
    <x v="0"/>
    <x v="1"/>
    <s v="No"/>
  </r>
  <r>
    <n v="362"/>
    <x v="50"/>
    <s v="Sunday"/>
    <s v="Same"/>
    <n v="10.83"/>
    <n v="3"/>
    <n v="0.2770083102493075"/>
    <n v="1.5"/>
    <d v="1899-12-30T19:40:00"/>
    <d v="1899-12-30T20:24:00"/>
    <d v="1899-12-30T00:44:00"/>
    <n v="44"/>
    <s v="5626 Lake District Drive"/>
    <n v="202"/>
    <x v="3"/>
    <x v="0"/>
    <x v="1"/>
    <s v="No"/>
  </r>
  <r>
    <n v="363"/>
    <x v="51"/>
    <s v="Friday"/>
    <s v="Different"/>
    <n v="44.06"/>
    <n v="4.9400000000000004"/>
    <n v="0.112119836586473"/>
    <n v="1.5"/>
    <d v="1899-12-30T16:54:00"/>
    <d v="1899-12-30T17:29:00"/>
    <d v="1899-12-30T00:35:00"/>
    <n v="35"/>
    <s v="8404 Warren Parkway"/>
    <n v="613"/>
    <x v="0"/>
    <x v="0"/>
    <x v="1"/>
    <s v="No"/>
  </r>
  <r>
    <n v="364"/>
    <x v="51"/>
    <s v="Friday"/>
    <s v="Same"/>
    <n v="26.2"/>
    <n v="5"/>
    <n v="0.19083969465648856"/>
    <n v="1.5"/>
    <d v="1899-12-30T16:52:00"/>
    <d v="1899-12-30T17:44:00"/>
    <d v="1899-12-30T00:52:00"/>
    <n v="52"/>
    <s v="6101 Pintail Lane"/>
    <m/>
    <x v="0"/>
    <x v="2"/>
    <x v="0"/>
    <s v="No"/>
  </r>
  <r>
    <n v="365"/>
    <x v="51"/>
    <s v="Friday"/>
    <s v="Same"/>
    <n v="38.97"/>
    <n v="6"/>
    <n v="0.15396458814472672"/>
    <n v="1.5"/>
    <d v="1899-12-30T17:05:00"/>
    <d v="1899-12-30T18:00:00"/>
    <d v="1899-12-30T00:55:00"/>
    <n v="54.999999999999993"/>
    <s v="4385 Washburne Drive"/>
    <m/>
    <x v="0"/>
    <x v="0"/>
    <x v="0"/>
    <s v="No"/>
  </r>
  <r>
    <n v="366"/>
    <x v="51"/>
    <s v="Friday"/>
    <s v="Same"/>
    <n v="29.99"/>
    <n v="3"/>
    <n v="0.10003334444814939"/>
    <n v="1.5"/>
    <d v="1899-12-30T17:57:00"/>
    <d v="1899-12-30T18:41:00"/>
    <d v="1899-12-30T00:44:00"/>
    <n v="44"/>
    <s v="5675 Lake District Drive"/>
    <n v="212"/>
    <x v="3"/>
    <x v="0"/>
    <x v="1"/>
    <s v="No"/>
  </r>
  <r>
    <n v="367"/>
    <x v="51"/>
    <s v="Friday"/>
    <s v="Same"/>
    <n v="49.69"/>
    <n v="5"/>
    <n v="0.10062386798148522"/>
    <n v="1.5"/>
    <d v="1899-12-30T18:01:00"/>
    <d v="1899-12-30T18:52:00"/>
    <d v="1899-12-30T00:51:00"/>
    <n v="51"/>
    <s v="6613 Village Springs Drive"/>
    <m/>
    <x v="2"/>
    <x v="0"/>
    <x v="0"/>
    <s v="No"/>
  </r>
  <r>
    <n v="368"/>
    <x v="51"/>
    <s v="Friday"/>
    <s v="Same"/>
    <n v="29.99"/>
    <n v="5"/>
    <n v="0.16672224074691563"/>
    <n v="5"/>
    <d v="1899-12-30T18:55:00"/>
    <d v="1899-12-30T19:29:00"/>
    <d v="1899-12-30T00:34:00"/>
    <n v="34"/>
    <s v="2325 Stallion Street"/>
    <m/>
    <x v="4"/>
    <x v="0"/>
    <x v="0"/>
    <s v="No"/>
  </r>
  <r>
    <n v="369"/>
    <x v="51"/>
    <s v="Friday"/>
    <s v="Same"/>
    <n v="26.25"/>
    <n v="13.75"/>
    <n v="0.52380952380952384"/>
    <n v="1.5"/>
    <d v="1899-12-30T19:57:00"/>
    <d v="1899-12-30T20:14:00"/>
    <d v="1899-12-30T00:17:00"/>
    <n v="17"/>
    <s v="2356 Chelsea Drive"/>
    <m/>
    <x v="0"/>
    <x v="0"/>
    <x v="0"/>
    <s v="No"/>
  </r>
  <r>
    <n v="370"/>
    <x v="51"/>
    <s v="Friday"/>
    <s v="Same"/>
    <n v="36.21"/>
    <n v="8.7899999999999991"/>
    <n v="0.24275062137531067"/>
    <n v="1.5"/>
    <d v="1899-12-30T20:06:00"/>
    <d v="1899-12-30T20:47:00"/>
    <d v="1899-12-30T00:41:00"/>
    <n v="41"/>
    <s v="5934 Arrowhead Drive"/>
    <m/>
    <x v="0"/>
    <x v="0"/>
    <x v="0"/>
    <s v="No"/>
  </r>
  <r>
    <n v="371"/>
    <x v="51"/>
    <s v="Friday"/>
    <s v="Same"/>
    <n v="28.9"/>
    <n v="5"/>
    <n v="0.17301038062283738"/>
    <n v="1.5"/>
    <d v="1899-12-30T20:13:00"/>
    <d v="1899-12-30T21:00:00"/>
    <d v="1899-12-30T00:47:00"/>
    <n v="47.000000000000007"/>
    <s v="3392 Mayflower Drive"/>
    <m/>
    <x v="0"/>
    <x v="4"/>
    <x v="0"/>
    <s v="No"/>
  </r>
  <r>
    <n v="372"/>
    <x v="52"/>
    <s v="Friday"/>
    <s v="Different"/>
    <n v="56.72"/>
    <n v="10"/>
    <n v="0.1763046544428773"/>
    <n v="5"/>
    <d v="1899-12-30T16:26:00"/>
    <d v="1899-12-30T17:21:00"/>
    <d v="1899-12-30T00:55:00"/>
    <n v="54.999999999999993"/>
    <s v="2380 Mare Road"/>
    <m/>
    <x v="4"/>
    <x v="0"/>
    <x v="0"/>
    <s v="No"/>
  </r>
  <r>
    <n v="373"/>
    <x v="52"/>
    <s v="Friday"/>
    <s v="Same"/>
    <n v="19.760000000000002"/>
    <n v="4"/>
    <n v="0.20242914979757085"/>
    <n v="1.5"/>
    <d v="1899-12-30T17:46:00"/>
    <d v="1899-12-30T18:26:00"/>
    <d v="1899-12-30T00:40:00"/>
    <n v="40"/>
    <s v="8618 Argentine Way"/>
    <m/>
    <x v="2"/>
    <x v="0"/>
    <x v="0"/>
    <s v="No"/>
  </r>
  <r>
    <n v="374"/>
    <x v="52"/>
    <s v="Friday"/>
    <s v="Same"/>
    <n v="35.72"/>
    <n v="7"/>
    <n v="0.19596864501679731"/>
    <n v="1.5"/>
    <d v="1899-12-30T19:00:00"/>
    <d v="1899-12-30T19:41:00"/>
    <d v="1899-12-30T00:41:00"/>
    <n v="41"/>
    <s v="5732 Big River Drive"/>
    <m/>
    <x v="3"/>
    <x v="0"/>
    <x v="0"/>
    <s v="No"/>
  </r>
  <r>
    <n v="375"/>
    <x v="52"/>
    <s v="Friday"/>
    <s v="Same"/>
    <n v="82.05"/>
    <n v="12"/>
    <n v="0.14625228519195613"/>
    <n v="1.5"/>
    <d v="1899-12-30T19:07:00"/>
    <d v="1899-12-30T19:58:00"/>
    <d v="1899-12-30T00:51:00"/>
    <n v="51"/>
    <s v="4347 Mariner Drive"/>
    <m/>
    <x v="0"/>
    <x v="0"/>
    <x v="0"/>
    <s v="No"/>
  </r>
  <r>
    <n v="376"/>
    <x v="52"/>
    <s v="Friday"/>
    <s v="Same"/>
    <n v="55.69"/>
    <n v="5"/>
    <n v="8.9782725803555397E-2"/>
    <n v="1.5"/>
    <d v="1899-12-30T19:09:00"/>
    <d v="1899-12-30T20:04:00"/>
    <d v="1899-12-30T00:55:00"/>
    <n v="54.999999999999993"/>
    <s v="3323 Pilgrim Drive"/>
    <m/>
    <x v="0"/>
    <x v="4"/>
    <x v="0"/>
    <s v="No"/>
  </r>
  <r>
    <n v="377"/>
    <x v="52"/>
    <s v="Friday"/>
    <s v="Same"/>
    <n v="65.17"/>
    <n v="16"/>
    <n v="0.24551173852999847"/>
    <n v="1.5"/>
    <d v="1899-12-30T19:18:00"/>
    <d v="1899-12-30T20:16:00"/>
    <d v="1899-12-30T00:58:00"/>
    <n v="58.000000000000007"/>
    <s v="4802 Orchard Park Drive"/>
    <m/>
    <x v="0"/>
    <x v="2"/>
    <x v="0"/>
    <s v="No"/>
  </r>
  <r>
    <n v="378"/>
    <x v="52"/>
    <s v="Friday"/>
    <s v="Same"/>
    <n v="111.61"/>
    <n v="15"/>
    <n v="0.13439655944807813"/>
    <n v="1.5"/>
    <d v="1899-12-30T20:14:00"/>
    <d v="1899-12-30T20:54:00"/>
    <d v="1899-12-30T00:40:00"/>
    <n v="40"/>
    <s v="6501 Legacy Drive"/>
    <m/>
    <x v="2"/>
    <x v="0"/>
    <x v="3"/>
    <s v="No"/>
  </r>
  <r>
    <n v="379"/>
    <x v="52"/>
    <s v="Friday"/>
    <s v="Same"/>
    <n v="97.8"/>
    <n v="15"/>
    <n v="0.15337423312883436"/>
    <n v="1.5"/>
    <d v="1899-12-30T20:10:00"/>
    <d v="1899-12-30T21:09:00"/>
    <d v="1899-12-30T00:59:00"/>
    <n v="59"/>
    <s v="6432 Castlemere Drive"/>
    <m/>
    <x v="2"/>
    <x v="0"/>
    <x v="0"/>
    <s v="No"/>
  </r>
  <r>
    <n v="380"/>
    <x v="52"/>
    <s v="Friday"/>
    <s v="Same"/>
    <n v="22.41"/>
    <n v="5"/>
    <n v="0.22311468094600626"/>
    <n v="1.5"/>
    <d v="1899-12-30T20:26:00"/>
    <d v="1899-12-30T21:16:00"/>
    <d v="1899-12-30T00:50:00"/>
    <n v="50"/>
    <s v="5944 Broadmoor Drive"/>
    <m/>
    <x v="2"/>
    <x v="0"/>
    <x v="0"/>
    <s v="No"/>
  </r>
  <r>
    <n v="381"/>
    <x v="53"/>
    <s v="Saturday"/>
    <s v="Different"/>
    <n v="60.62"/>
    <n v="10"/>
    <n v="0.16496205872649292"/>
    <n v="1.5"/>
    <d v="1899-12-30T17:39:00"/>
    <d v="1899-12-30T18:06:00"/>
    <d v="1899-12-30T00:27:00"/>
    <n v="26.999999999999996"/>
    <s v="2000 Parkwood Blvd"/>
    <n v="417"/>
    <x v="0"/>
    <x v="0"/>
    <x v="2"/>
    <s v="No"/>
  </r>
  <r>
    <n v="382"/>
    <x v="53"/>
    <s v="Saturday"/>
    <s v="Same"/>
    <n v="23.76"/>
    <n v="3"/>
    <n v="0.12626262626262624"/>
    <n v="1.5"/>
    <d v="1899-12-30T17:43:00"/>
    <d v="1899-12-30T18:23:00"/>
    <d v="1899-12-30T00:40:00"/>
    <n v="40"/>
    <s v="8275 Stonebrook Parkway"/>
    <n v="2311"/>
    <x v="0"/>
    <x v="0"/>
    <x v="1"/>
    <s v="No"/>
  </r>
  <r>
    <n v="383"/>
    <x v="53"/>
    <s v="Saturday"/>
    <s v="Same"/>
    <n v="26.74"/>
    <n v="4"/>
    <n v="0.14958863126402394"/>
    <n v="1.5"/>
    <d v="1899-12-30T18:49:00"/>
    <d v="1899-12-30T19:28:00"/>
    <d v="1899-12-30T00:39:00"/>
    <n v="39"/>
    <s v="7560 Lancelot Drive"/>
    <m/>
    <x v="0"/>
    <x v="0"/>
    <x v="0"/>
    <s v="No"/>
  </r>
  <r>
    <n v="384"/>
    <x v="53"/>
    <s v="Saturday"/>
    <s v="Same"/>
    <n v="24.3"/>
    <n v="4"/>
    <n v="0.16460905349794239"/>
    <n v="1.5"/>
    <d v="1899-12-30T18:45:00"/>
    <d v="1899-12-30T19:38:00"/>
    <d v="1899-12-30T00:53:00"/>
    <n v="53"/>
    <s v="11066 Clearstream Lane"/>
    <m/>
    <x v="0"/>
    <x v="0"/>
    <x v="0"/>
    <s v="No"/>
  </r>
  <r>
    <n v="385"/>
    <x v="53"/>
    <s v="Saturday"/>
    <s v="Same"/>
    <n v="51.58"/>
    <n v="4"/>
    <n v="7.754943776657619E-2"/>
    <n v="1.5"/>
    <d v="1899-12-30T18:57:00"/>
    <d v="1899-12-30T19:43:00"/>
    <d v="1899-12-30T00:46:00"/>
    <n v="46.000000000000007"/>
    <s v="5809 Louisville Drive"/>
    <m/>
    <x v="0"/>
    <x v="0"/>
    <x v="0"/>
    <s v="No"/>
  </r>
  <r>
    <n v="386"/>
    <x v="53"/>
    <s v="Saturday"/>
    <s v="Same"/>
    <n v="54.67"/>
    <n v="10.33"/>
    <n v="0.18895189317724528"/>
    <n v="5"/>
    <d v="1899-12-30T18:49:00"/>
    <d v="1899-12-30T20:04:00"/>
    <d v="1899-12-30T01:15:00"/>
    <n v="75"/>
    <s v="6204 Southwind Lane"/>
    <m/>
    <x v="5"/>
    <x v="0"/>
    <x v="0"/>
    <s v="No"/>
  </r>
  <r>
    <n v="387"/>
    <x v="54"/>
    <s v="Sunday"/>
    <s v="Different"/>
    <n v="50.77"/>
    <n v="8"/>
    <n v="0.15757337010045303"/>
    <n v="1.5"/>
    <d v="1899-12-30T16:40:00"/>
    <d v="1899-12-30T17:19:00"/>
    <d v="1899-12-30T00:39:00"/>
    <n v="39"/>
    <s v="6025 Star Trail Drive"/>
    <m/>
    <x v="0"/>
    <x v="2"/>
    <x v="0"/>
    <s v="No"/>
  </r>
  <r>
    <n v="388"/>
    <x v="54"/>
    <s v="Sunday"/>
    <s v="Same"/>
    <n v="33.22"/>
    <n v="11"/>
    <n v="0.33112582781456956"/>
    <n v="1.5"/>
    <d v="1899-12-30T16:45:00"/>
    <d v="1899-12-30T17:32:00"/>
    <d v="1899-12-30T00:47:00"/>
    <n v="47.000000000000007"/>
    <s v="5420 Longvue Drive"/>
    <m/>
    <x v="0"/>
    <x v="0"/>
    <x v="0"/>
    <s v="No"/>
  </r>
  <r>
    <n v="389"/>
    <x v="54"/>
    <s v="Sunday"/>
    <s v="Same"/>
    <n v="40.590000000000003"/>
    <n v="7"/>
    <n v="0.17245627001724562"/>
    <n v="5"/>
    <d v="1899-12-30T16:43:00"/>
    <d v="1899-12-30T17:43:00"/>
    <d v="1899-12-30T01:00:00"/>
    <n v="60"/>
    <s v="6740 Garrett River Road"/>
    <m/>
    <x v="0"/>
    <x v="0"/>
    <x v="0"/>
    <s v="No"/>
  </r>
  <r>
    <n v="390"/>
    <x v="54"/>
    <s v="Sunday"/>
    <s v="Same"/>
    <n v="35.18"/>
    <n v="3"/>
    <n v="8.5275724843661166E-2"/>
    <n v="1.5"/>
    <d v="1899-12-30T18:05:00"/>
    <d v="1899-12-30T18:48:00"/>
    <d v="1899-12-30T00:43:00"/>
    <n v="43"/>
    <s v="2080 Mason Drive"/>
    <m/>
    <x v="0"/>
    <x v="0"/>
    <x v="0"/>
    <s v="No"/>
  </r>
  <r>
    <n v="391"/>
    <x v="54"/>
    <s v="Sunday"/>
    <s v="Same"/>
    <n v="17.86"/>
    <n v="3"/>
    <n v="0.16797312430011199"/>
    <n v="5"/>
    <d v="1899-12-30T18:26:00"/>
    <d v="1899-12-30T18:59:00"/>
    <d v="1899-12-30T00:33:00"/>
    <n v="33"/>
    <s v="1856 Sandstone Drive"/>
    <m/>
    <x v="0"/>
    <x v="0"/>
    <x v="0"/>
    <s v="No"/>
  </r>
  <r>
    <n v="392"/>
    <x v="54"/>
    <s v="Sunday"/>
    <s v="Same"/>
    <n v="54.02"/>
    <n v="20"/>
    <n v="0.37023324694557569"/>
    <n v="5"/>
    <d v="1899-12-30T18:19:00"/>
    <d v="1899-12-30T19:16:00"/>
    <d v="1899-12-30T00:57:00"/>
    <n v="57"/>
    <s v="4104 San Gabriel Avenue"/>
    <m/>
    <x v="0"/>
    <x v="0"/>
    <x v="0"/>
    <s v="No"/>
  </r>
  <r>
    <n v="393"/>
    <x v="54"/>
    <s v="Sunday"/>
    <s v="Same"/>
    <n v="35.67"/>
    <n v="4.33"/>
    <n v="0.12139052425007009"/>
    <n v="1.5"/>
    <d v="1899-12-30T19:35:00"/>
    <d v="1899-12-30T19:54:00"/>
    <d v="1899-12-30T00:19:00"/>
    <n v="19"/>
    <s v="5759 Knox Drive"/>
    <m/>
    <x v="2"/>
    <x v="0"/>
    <x v="0"/>
    <s v="No"/>
  </r>
  <r>
    <n v="394"/>
    <x v="54"/>
    <s v="Sunday"/>
    <s v="Same"/>
    <n v="29.71"/>
    <n v="5.29"/>
    <n v="0.17805452709525413"/>
    <n v="1.5"/>
    <d v="1899-12-30T19:28:00"/>
    <d v="1899-12-30T20:05:00"/>
    <d v="1899-12-30T00:37:00"/>
    <n v="37"/>
    <s v="4909 Baton Rouge Blvd"/>
    <m/>
    <x v="0"/>
    <x v="0"/>
    <x v="0"/>
    <s v="No"/>
  </r>
  <r>
    <n v="395"/>
    <x v="54"/>
    <s v="Sunday"/>
    <s v="Same"/>
    <n v="51.91"/>
    <n v="10"/>
    <n v="0.19264110961279138"/>
    <n v="1.5"/>
    <d v="1899-12-30T19:30:00"/>
    <d v="1899-12-30T20:15:00"/>
    <d v="1899-12-30T00:45:00"/>
    <n v="45"/>
    <s v="11104 Elizabeth Avenue"/>
    <m/>
    <x v="0"/>
    <x v="0"/>
    <x v="0"/>
    <s v="No"/>
  </r>
  <r>
    <n v="396"/>
    <x v="55"/>
    <s v="Friday"/>
    <s v="Different"/>
    <n v="75.989999999999995"/>
    <n v="14.01"/>
    <n v="0.18436636399526254"/>
    <n v="1.5"/>
    <d v="1899-12-30T17:31:00"/>
    <d v="1899-12-30T17:57:00"/>
    <d v="1899-12-30T00:26:00"/>
    <n v="26"/>
    <s v="8500 Forest Highlands Drive"/>
    <m/>
    <x v="2"/>
    <x v="0"/>
    <x v="0"/>
    <s v="No"/>
  </r>
  <r>
    <n v="397"/>
    <x v="55"/>
    <s v="Friday"/>
    <s v="Same"/>
    <n v="15.16"/>
    <n v="3"/>
    <n v="0.19788918205804748"/>
    <n v="1.5"/>
    <d v="1899-12-30T17:31:00"/>
    <d v="1899-12-30T18:04:00"/>
    <d v="1899-12-30T00:33:00"/>
    <n v="33"/>
    <s v="4653 Peabody Place"/>
    <m/>
    <x v="2"/>
    <x v="0"/>
    <x v="0"/>
    <s v="No"/>
  </r>
  <r>
    <n v="398"/>
    <x v="55"/>
    <s v="Friday"/>
    <s v="Same"/>
    <n v="27.55"/>
    <n v="17.45"/>
    <n v="0.6333938294010889"/>
    <n v="5"/>
    <d v="1899-12-30T18:24:00"/>
    <d v="1899-12-30T18:56:00"/>
    <d v="1899-12-30T00:32:00"/>
    <n v="32"/>
    <s v="8061 Hillside Drive"/>
    <m/>
    <x v="0"/>
    <x v="0"/>
    <x v="0"/>
    <s v="No"/>
  </r>
  <r>
    <n v="399"/>
    <x v="55"/>
    <s v="Friday"/>
    <s v="Same"/>
    <n v="57.21"/>
    <n v="10"/>
    <n v="0.17479461632581716"/>
    <n v="1.5"/>
    <d v="1899-12-30T19:30:00"/>
    <d v="1899-12-30T19:30:00"/>
    <d v="1899-12-30T00:00:00"/>
    <n v="0"/>
    <s v="4660 Lucient Circle"/>
    <m/>
    <x v="2"/>
    <x v="0"/>
    <x v="0"/>
    <s v="Yes"/>
  </r>
  <r>
    <n v="400"/>
    <x v="55"/>
    <s v="Friday"/>
    <s v="Same"/>
    <n v="45.68"/>
    <n v="10"/>
    <n v="0.21891418563922943"/>
    <n v="1.5"/>
    <d v="1899-12-30T20:30:00"/>
    <d v="1899-12-30T20:57:00"/>
    <d v="1899-12-30T00:27:00"/>
    <n v="26.999999999999996"/>
    <s v="5400 Widgeon Way"/>
    <m/>
    <x v="0"/>
    <x v="2"/>
    <x v="0"/>
    <s v="No"/>
  </r>
  <r>
    <n v="401"/>
    <x v="56"/>
    <s v="Saturday"/>
    <s v="Different"/>
    <n v="32.96"/>
    <n v="6.05"/>
    <n v="0.18355582524271843"/>
    <n v="1.5"/>
    <d v="1899-12-30T16:35:00"/>
    <d v="1899-12-30T17:13:00"/>
    <d v="1899-12-30T00:38:00"/>
    <n v="38"/>
    <s v="4631 Pine Valley Drive"/>
    <m/>
    <x v="0"/>
    <x v="1"/>
    <x v="0"/>
    <s v="No"/>
  </r>
  <r>
    <n v="402"/>
    <x v="56"/>
    <s v="Saturday"/>
    <s v="Same"/>
    <n v="64.84"/>
    <n v="15.16"/>
    <n v="0.2338062924120913"/>
    <n v="5"/>
    <d v="1899-12-30T16:49:00"/>
    <d v="1899-12-30T17:28:00"/>
    <d v="1899-12-30T00:39:00"/>
    <n v="39"/>
    <s v="6708 Stallion Ranch Road"/>
    <m/>
    <x v="0"/>
    <x v="0"/>
    <x v="0"/>
    <s v="No"/>
  </r>
  <r>
    <n v="403"/>
    <x v="56"/>
    <s v="Saturday"/>
    <s v="Same"/>
    <n v="44.38"/>
    <n v="7"/>
    <n v="0.15772870662460567"/>
    <n v="1.5"/>
    <d v="1899-12-30T17:33:00"/>
    <d v="1899-12-30T18:02:00"/>
    <d v="1899-12-30T00:29:00"/>
    <n v="29.000000000000004"/>
    <s v="8112 Lynores Way"/>
    <m/>
    <x v="2"/>
    <x v="0"/>
    <x v="0"/>
    <s v="No"/>
  </r>
  <r>
    <n v="404"/>
    <x v="56"/>
    <s v="Saturday"/>
    <s v="Same"/>
    <n v="33.770000000000003"/>
    <n v="6"/>
    <n v="0.17767249037607341"/>
    <n v="1.5"/>
    <d v="1899-12-30T17:55:00"/>
    <d v="1899-12-30T18:38:00"/>
    <d v="1899-12-30T00:43:00"/>
    <n v="43"/>
    <s v="7121 Bishop Drive"/>
    <n v="538"/>
    <x v="2"/>
    <x v="0"/>
    <x v="2"/>
    <s v="No"/>
  </r>
  <r>
    <n v="405"/>
    <x v="56"/>
    <s v="Saturday"/>
    <s v="Same"/>
    <n v="35.94"/>
    <n v="11"/>
    <n v="0.3060656649972176"/>
    <n v="1.5"/>
    <d v="1899-12-30T18:01:00"/>
    <d v="1899-12-30T18:56:00"/>
    <d v="1899-12-30T00:55:00"/>
    <n v="54.999999999999993"/>
    <s v="4112 River Branch Trail"/>
    <m/>
    <x v="2"/>
    <x v="0"/>
    <x v="0"/>
    <s v="No"/>
  </r>
  <r>
    <n v="406"/>
    <x v="56"/>
    <s v="Saturday"/>
    <s v="Same"/>
    <n v="33.56"/>
    <n v="3"/>
    <n v="8.9392133492252682E-2"/>
    <n v="1.5"/>
    <d v="1899-12-30T18:08:00"/>
    <d v="1899-12-30T19:10:00"/>
    <d v="1899-12-30T01:02:00"/>
    <n v="62.000000000000007"/>
    <s v="5765 Bozeman Drive"/>
    <n v="3333"/>
    <x v="2"/>
    <x v="0"/>
    <x v="1"/>
    <s v="No"/>
  </r>
  <r>
    <n v="407"/>
    <x v="56"/>
    <s v="Saturday"/>
    <s v="Same"/>
    <n v="93.26"/>
    <n v="18"/>
    <n v="0.19300879262277504"/>
    <n v="5"/>
    <d v="1899-12-30T20:17:00"/>
    <d v="1899-12-30T20:42:00"/>
    <d v="1899-12-30T00:25:00"/>
    <n v="25"/>
    <s v="15248 Forest Haven Lane"/>
    <m/>
    <x v="0"/>
    <x v="0"/>
    <x v="0"/>
    <s v="No"/>
  </r>
  <r>
    <n v="408"/>
    <x v="57"/>
    <s v="Sunday"/>
    <s v="Different"/>
    <n v="37.78"/>
    <n v="5"/>
    <n v="0.13234515616728426"/>
    <n v="1.5"/>
    <d v="1899-12-30T15:48:00"/>
    <d v="1899-12-30T16:34:00"/>
    <d v="1899-12-30T00:46:00"/>
    <n v="46.000000000000007"/>
    <s v="11194 Clearstream Lane"/>
    <m/>
    <x v="0"/>
    <x v="0"/>
    <x v="0"/>
    <s v="No"/>
  </r>
  <r>
    <n v="409"/>
    <x v="57"/>
    <s v="Sunday"/>
    <s v="Same"/>
    <n v="34.1"/>
    <n v="6"/>
    <n v="0.17595307917888561"/>
    <n v="1.5"/>
    <d v="1899-12-30T17:22:00"/>
    <d v="1899-12-30T17:47:00"/>
    <d v="1899-12-30T00:25:00"/>
    <n v="25"/>
    <s v="6853 North Dallas Parkway"/>
    <n v="511"/>
    <x v="2"/>
    <x v="0"/>
    <x v="2"/>
    <s v="No"/>
  </r>
  <r>
    <n v="410"/>
    <x v="57"/>
    <s v="Sunday"/>
    <s v="Same"/>
    <n v="62.73"/>
    <n v="8"/>
    <n v="0.12753068707157661"/>
    <n v="1.5"/>
    <d v="1899-12-30T17:43:00"/>
    <d v="1899-12-30T18:24:00"/>
    <d v="1899-12-30T00:41:00"/>
    <n v="41"/>
    <s v="5933 Haley Way"/>
    <m/>
    <x v="0"/>
    <x v="2"/>
    <x v="0"/>
    <s v="No"/>
  </r>
  <r>
    <n v="411"/>
    <x v="57"/>
    <s v="Sunday"/>
    <s v="Same"/>
    <n v="21.05"/>
    <n v="6"/>
    <n v="0.28503562945368172"/>
    <n v="5"/>
    <d v="1899-12-30T18:34:00"/>
    <d v="1899-12-30T19:01:00"/>
    <d v="1899-12-30T00:27:00"/>
    <n v="26.999999999999996"/>
    <s v="5036 North Colony Blvd"/>
    <m/>
    <x v="3"/>
    <x v="0"/>
    <x v="0"/>
    <s v="No"/>
  </r>
  <r>
    <n v="412"/>
    <x v="57"/>
    <s v="Sunday"/>
    <s v="Same"/>
    <n v="32.450000000000003"/>
    <n v="5"/>
    <n v="0.15408320493066255"/>
    <n v="1.5"/>
    <d v="1899-12-30T18:37:00"/>
    <d v="1899-12-30T19:11:00"/>
    <d v="1899-12-30T00:34:00"/>
    <n v="34"/>
    <s v="5657 North Colony Blvd"/>
    <m/>
    <x v="3"/>
    <x v="0"/>
    <x v="0"/>
    <s v="No"/>
  </r>
  <r>
    <n v="413"/>
    <x v="57"/>
    <s v="Sunday"/>
    <s v="Same"/>
    <n v="38.1"/>
    <n v="10"/>
    <n v="0.26246719160104987"/>
    <n v="1.5"/>
    <d v="1899-12-30T19:16:00"/>
    <d v="1899-12-30T19:39:00"/>
    <d v="1899-12-30T00:23:00"/>
    <n v="23.000000000000004"/>
    <s v="10709 Promise Land Drive"/>
    <m/>
    <x v="0"/>
    <x v="0"/>
    <x v="0"/>
    <s v="No"/>
  </r>
  <r>
    <n v="414"/>
    <x v="57"/>
    <s v="Sunday"/>
    <s v="Same"/>
    <n v="32.909999999999997"/>
    <n v="5"/>
    <n v="0.15192950470981467"/>
    <n v="1.5"/>
    <d v="1899-12-30T19:36:00"/>
    <d v="1899-12-30T20:07:00"/>
    <d v="1899-12-30T00:31:00"/>
    <n v="31.000000000000004"/>
    <s v="3199 Parkwood Blvd"/>
    <n v="524"/>
    <x v="0"/>
    <x v="0"/>
    <x v="2"/>
    <s v="No"/>
  </r>
  <r>
    <n v="415"/>
    <x v="57"/>
    <s v="Sunday"/>
    <s v="Same"/>
    <n v="22.41"/>
    <n v="3"/>
    <n v="0.13386880856760375"/>
    <n v="1.5"/>
    <d v="1899-12-30T20:16:00"/>
    <d v="1899-12-30T20:47:00"/>
    <d v="1899-12-30T00:31:00"/>
    <n v="31.000000000000004"/>
    <s v="4437 English Oak Drive"/>
    <m/>
    <x v="2"/>
    <x v="0"/>
    <x v="0"/>
    <s v="No"/>
  </r>
  <r>
    <n v="416"/>
    <x v="58"/>
    <s v="Sunday"/>
    <s v="Different"/>
    <n v="55.05"/>
    <n v="5"/>
    <n v="9.0826521344232525E-2"/>
    <n v="1.5"/>
    <d v="1899-12-30T16:50:00"/>
    <d v="1899-12-30T17:25:00"/>
    <d v="1899-12-30T00:35:00"/>
    <n v="35"/>
    <s v="5805 Granite Parkway"/>
    <n v="508"/>
    <x v="2"/>
    <x v="0"/>
    <x v="2"/>
    <s v="No"/>
  </r>
  <r>
    <n v="417"/>
    <x v="58"/>
    <s v="Sunday"/>
    <s v="Same"/>
    <n v="51.09"/>
    <n v="8"/>
    <n v="0.15658641612840085"/>
    <n v="1.5"/>
    <d v="1899-12-30T17:05:00"/>
    <d v="1899-12-30T17:38:00"/>
    <d v="1899-12-30T00:33:00"/>
    <n v="33"/>
    <s v="8 Savannah Ridge"/>
    <m/>
    <x v="0"/>
    <x v="1"/>
    <x v="0"/>
    <s v="No"/>
  </r>
  <r>
    <n v="418"/>
    <x v="58"/>
    <s v="Sunday"/>
    <s v="Same"/>
    <n v="37.78"/>
    <n v="6"/>
    <n v="0.15881418740074113"/>
    <n v="1.5"/>
    <d v="1899-12-30T16:59:00"/>
    <d v="1899-12-30T17:49:00"/>
    <d v="1899-12-30T00:50:00"/>
    <n v="50"/>
    <s v="5958 Haley Way"/>
    <m/>
    <x v="0"/>
    <x v="2"/>
    <x v="0"/>
    <s v="No"/>
  </r>
  <r>
    <n v="419"/>
    <x v="58"/>
    <s v="Sunday"/>
    <s v="Same"/>
    <n v="41.62"/>
    <n v="8"/>
    <n v="0.19221528111484865"/>
    <n v="1.5"/>
    <d v="1899-12-30T18:12:00"/>
    <d v="1899-12-30T18:42:00"/>
    <d v="1899-12-30T00:30:00"/>
    <n v="30"/>
    <s v="9700 Presthope Drive"/>
    <m/>
    <x v="0"/>
    <x v="0"/>
    <x v="0"/>
    <s v="No"/>
  </r>
  <r>
    <n v="420"/>
    <x v="58"/>
    <s v="Sunday"/>
    <s v="Same"/>
    <n v="47.85"/>
    <n v="7"/>
    <n v="0.14629049111807732"/>
    <n v="1.5"/>
    <d v="1899-12-30T18:13:00"/>
    <d v="1899-12-30T18:54:00"/>
    <d v="1899-12-30T00:41:00"/>
    <n v="41"/>
    <s v="13969 Adare Manor"/>
    <m/>
    <x v="0"/>
    <x v="0"/>
    <x v="0"/>
    <s v="No"/>
  </r>
  <r>
    <n v="421"/>
    <x v="58"/>
    <s v="Sunday"/>
    <s v="Same"/>
    <n v="59.43"/>
    <n v="10.57"/>
    <n v="0.17785630153121321"/>
    <n v="1.5"/>
    <d v="1899-12-30T19:00:00"/>
    <d v="1899-12-30T19:35:00"/>
    <d v="1899-12-30T00:35:00"/>
    <n v="35"/>
    <s v="4628 Courtyard Trail"/>
    <m/>
    <x v="2"/>
    <x v="0"/>
    <x v="0"/>
    <s v="No"/>
  </r>
  <r>
    <n v="422"/>
    <x v="58"/>
    <s v="Sunday"/>
    <s v="Same"/>
    <n v="47.97"/>
    <n v="5"/>
    <n v="0.10423181154888472"/>
    <n v="1.5"/>
    <d v="1899-12-30T19:01:00"/>
    <d v="1899-12-30T19:47:00"/>
    <d v="1899-12-30T00:46:00"/>
    <n v="46.000000000000007"/>
    <s v="6900 Bishop Road"/>
    <n v="4111"/>
    <x v="2"/>
    <x v="0"/>
    <x v="1"/>
    <s v="No"/>
  </r>
  <r>
    <n v="423"/>
    <x v="58"/>
    <s v="Sunday"/>
    <s v="Same"/>
    <n v="32.96"/>
    <n v="4"/>
    <n v="0.12135922330097088"/>
    <n v="1.5"/>
    <d v="1899-12-30T19:09:00"/>
    <d v="1899-12-30T19:56:00"/>
    <d v="1899-12-30T00:47:00"/>
    <n v="47.000000000000007"/>
    <s v="5745 Bozeman Drive"/>
    <m/>
    <x v="2"/>
    <x v="0"/>
    <x v="1"/>
    <s v="No"/>
  </r>
  <r>
    <n v="424"/>
    <x v="58"/>
    <s v="Sunday"/>
    <s v="Same"/>
    <n v="30.26"/>
    <n v="5"/>
    <n v="0.16523463317911433"/>
    <n v="1.5"/>
    <d v="1899-12-30T19:41:00"/>
    <d v="1899-12-30T20:16:00"/>
    <d v="1899-12-30T00:35:00"/>
    <n v="35"/>
    <s v="5716 Martin Road"/>
    <m/>
    <x v="2"/>
    <x v="0"/>
    <x v="1"/>
    <s v="No"/>
  </r>
  <r>
    <n v="425"/>
    <x v="59"/>
    <s v="Monday"/>
    <s v="Different"/>
    <n v="15.7"/>
    <n v="3"/>
    <n v="0.19108280254777071"/>
    <n v="1.5"/>
    <d v="1899-12-30T17:38:00"/>
    <d v="1899-12-30T18:21:00"/>
    <d v="1899-12-30T00:43:00"/>
    <n v="43"/>
    <s v="7840 Clara Drive"/>
    <n v="5107"/>
    <x v="2"/>
    <x v="0"/>
    <x v="1"/>
    <s v="No"/>
  </r>
  <r>
    <n v="426"/>
    <x v="59"/>
    <s v="Monday"/>
    <s v="Same"/>
    <n v="40.54"/>
    <n v="8"/>
    <n v="0.19733596447952639"/>
    <n v="5"/>
    <d v="1899-12-30T17:33:00"/>
    <d v="1899-12-30T18:41:00"/>
    <d v="1899-12-30T01:08:00"/>
    <n v="68"/>
    <s v="1418 Wildfire Lane"/>
    <m/>
    <x v="0"/>
    <x v="0"/>
    <x v="0"/>
    <s v="No"/>
  </r>
  <r>
    <n v="427"/>
    <x v="59"/>
    <s v="Monday"/>
    <s v="Same"/>
    <n v="90.77"/>
    <n v="5.23"/>
    <n v="5.7618155778340868E-2"/>
    <n v="5"/>
    <d v="1899-12-30T18:11:00"/>
    <d v="1899-12-30T19:30:00"/>
    <d v="1899-12-30T01:19:00"/>
    <n v="79"/>
    <s v="3471 Waycross Lane"/>
    <m/>
    <x v="0"/>
    <x v="0"/>
    <x v="0"/>
    <s v="No"/>
  </r>
  <r>
    <n v="428"/>
    <x v="59"/>
    <s v="Monday"/>
    <s v="Same"/>
    <n v="22.41"/>
    <n v="6.59"/>
    <n v="0.29406514948683621"/>
    <n v="1.5"/>
    <d v="1899-12-30T19:41:00"/>
    <d v="1899-12-30T20:08:00"/>
    <d v="1899-12-30T00:27:00"/>
    <n v="26.999999999999996"/>
    <s v="4609 Firestone Drive"/>
    <m/>
    <x v="0"/>
    <x v="1"/>
    <x v="0"/>
    <s v="No"/>
  </r>
  <r>
    <n v="429"/>
    <x v="59"/>
    <s v="Monday"/>
    <s v="Same"/>
    <n v="145.16"/>
    <n v="25"/>
    <n v="0.17222375310002755"/>
    <n v="5"/>
    <d v="1899-12-30T19:37:00"/>
    <d v="1899-12-30T20:21:00"/>
    <d v="1899-12-30T00:44:00"/>
    <n v="44"/>
    <s v="2385 Purdue Street"/>
    <m/>
    <x v="0"/>
    <x v="0"/>
    <x v="0"/>
    <s v="No"/>
  </r>
  <r>
    <n v="430"/>
    <x v="60"/>
    <s v="Wednesday"/>
    <s v="Different"/>
    <n v="154.69"/>
    <n v="15"/>
    <n v="9.6968129808003109E-2"/>
    <n v="1.5"/>
    <d v="1899-12-30T18:15:00"/>
    <d v="1899-12-30T18:15:00"/>
    <d v="1899-12-30T00:00:00"/>
    <n v="0"/>
    <s v="6516 Old Gate Road"/>
    <m/>
    <x v="2"/>
    <x v="0"/>
    <x v="0"/>
    <s v="Yes"/>
  </r>
  <r>
    <n v="431"/>
    <x v="60"/>
    <s v="Wednesday"/>
    <s v="Same"/>
    <n v="76.150000000000006"/>
    <n v="5"/>
    <n v="6.5659881812212731E-2"/>
    <n v="7"/>
    <d v="1899-12-30T18:04:00"/>
    <d v="1899-12-30T19:03:00"/>
    <d v="1899-12-30T00:59:00"/>
    <n v="59"/>
    <s v="1916 Paris Avenue"/>
    <m/>
    <x v="2"/>
    <x v="0"/>
    <x v="0"/>
    <s v="No"/>
  </r>
  <r>
    <n v="432"/>
    <x v="60"/>
    <s v="Wednesday"/>
    <s v="Same"/>
    <n v="20.78"/>
    <n v="4"/>
    <n v="0.19249278152069296"/>
    <n v="1.5"/>
    <d v="1899-12-30T18:11:00"/>
    <d v="1899-12-30T19:16:00"/>
    <d v="1899-12-30T01:05:00"/>
    <n v="65"/>
    <s v="3512 Burnet Drive"/>
    <m/>
    <x v="2"/>
    <x v="0"/>
    <x v="0"/>
    <s v="No"/>
  </r>
  <r>
    <n v="433"/>
    <x v="60"/>
    <s v="Wednesday"/>
    <s v="Same"/>
    <n v="29.99"/>
    <n v="6"/>
    <n v="0.20006668889629878"/>
    <n v="1.5"/>
    <d v="1899-12-30T18:15:00"/>
    <d v="1899-12-30T19:26:00"/>
    <d v="1899-12-30T01:11:00"/>
    <n v="71"/>
    <s v="8631 Pauline Street"/>
    <m/>
    <x v="2"/>
    <x v="0"/>
    <x v="0"/>
    <s v="No"/>
  </r>
  <r>
    <n v="434"/>
    <x v="60"/>
    <s v="Wednesday"/>
    <s v="Same"/>
    <n v="29.92"/>
    <n v="6"/>
    <n v="0.20053475935828877"/>
    <n v="1.5"/>
    <d v="1899-12-30T19:38:00"/>
    <d v="1899-12-30T20:16:00"/>
    <d v="1899-12-30T00:38:00"/>
    <n v="38"/>
    <s v="6080 Water Street"/>
    <n v="1464"/>
    <x v="2"/>
    <x v="0"/>
    <x v="1"/>
    <s v="No"/>
  </r>
  <r>
    <n v="435"/>
    <x v="60"/>
    <s v="Wednesday"/>
    <s v="Same"/>
    <n v="52.07"/>
    <n v="7.93"/>
    <n v="0.15229498751680429"/>
    <n v="1.5"/>
    <d v="1899-12-30T19:48:00"/>
    <d v="1899-12-30T20:31:00"/>
    <d v="1899-12-30T00:43:00"/>
    <n v="43"/>
    <s v="4620 Sundance Drive"/>
    <m/>
    <x v="2"/>
    <x v="0"/>
    <x v="0"/>
    <s v="No"/>
  </r>
  <r>
    <n v="436"/>
    <x v="61"/>
    <s v="Friday"/>
    <s v="Different"/>
    <n v="35.07"/>
    <n v="5.93"/>
    <n v="0.16909039064727688"/>
    <n v="1.5"/>
    <d v="1899-12-30T16:46:00"/>
    <d v="1899-12-30T17:08:00"/>
    <d v="1899-12-30T00:22:00"/>
    <n v="22"/>
    <s v="5533 Donley Drive"/>
    <m/>
    <x v="0"/>
    <x v="0"/>
    <x v="0"/>
    <s v="No"/>
  </r>
  <r>
    <n v="437"/>
    <x v="61"/>
    <s v="Friday"/>
    <s v="Same"/>
    <n v="66.47"/>
    <n v="18"/>
    <n v="0.27079885662704978"/>
    <n v="1.5"/>
    <d v="1899-12-30T17:15:00"/>
    <d v="1899-12-30T17:43:00"/>
    <d v="1899-12-30T00:28:00"/>
    <n v="28"/>
    <s v="6425 Autumn Trail"/>
    <m/>
    <x v="3"/>
    <x v="0"/>
    <x v="0"/>
    <s v="No"/>
  </r>
  <r>
    <n v="438"/>
    <x v="61"/>
    <s v="Friday"/>
    <s v="Same"/>
    <n v="58.99"/>
    <n v="5.01"/>
    <n v="8.492964909306662E-2"/>
    <n v="1.5"/>
    <d v="1899-12-30T17:53:00"/>
    <d v="1899-12-30T18:24:00"/>
    <d v="1899-12-30T00:31:00"/>
    <n v="31.000000000000004"/>
    <s v="8101 Memorial Lane"/>
    <n v="2822"/>
    <x v="2"/>
    <x v="0"/>
    <x v="1"/>
    <s v="No"/>
  </r>
  <r>
    <n v="439"/>
    <x v="61"/>
    <s v="Friday"/>
    <s v="Same"/>
    <n v="50.07"/>
    <n v="15"/>
    <n v="0.29958058717795089"/>
    <n v="1.5"/>
    <d v="1899-12-30T18:41:00"/>
    <d v="1899-12-30T19:10:00"/>
    <d v="1899-12-30T00:29:00"/>
    <n v="29.000000000000004"/>
    <s v="5805 Granite Parkway"/>
    <n v="728"/>
    <x v="2"/>
    <x v="0"/>
    <x v="2"/>
    <s v="No"/>
  </r>
  <r>
    <n v="440"/>
    <x v="61"/>
    <s v="Friday"/>
    <s v="Same"/>
    <n v="83.46"/>
    <n v="20"/>
    <n v="0.23963575365444525"/>
    <n v="5"/>
    <d v="1899-12-30T18:32:00"/>
    <d v="1899-12-30T19:29:00"/>
    <d v="1899-12-30T00:57:00"/>
    <n v="57"/>
    <s v="4314 Indian Ceek Lane"/>
    <m/>
    <x v="0"/>
    <x v="0"/>
    <x v="0"/>
    <s v="No"/>
  </r>
  <r>
    <n v="441"/>
    <x v="62"/>
    <s v="Saturday"/>
    <s v="Different"/>
    <n v="32.479999999999997"/>
    <n v="6"/>
    <n v="0.18472906403940889"/>
    <n v="1.5"/>
    <d v="1899-12-30T17:43:00"/>
    <d v="1899-12-30T18:23:00"/>
    <d v="1899-12-30T00:40:00"/>
    <n v="40"/>
    <s v="3198 Parkwood Blvd"/>
    <n v="12004"/>
    <x v="0"/>
    <x v="0"/>
    <x v="1"/>
    <s v="No"/>
  </r>
  <r>
    <n v="442"/>
    <x v="62"/>
    <s v="Saturday"/>
    <s v="Same"/>
    <n v="38.65"/>
    <n v="5"/>
    <n v="0.12936610608020699"/>
    <n v="1.5"/>
    <d v="1899-12-30T17:50:00"/>
    <d v="1899-12-30T18:37:00"/>
    <d v="1899-12-30T00:47:00"/>
    <n v="47.000000000000007"/>
    <s v="5512 Belle Chasse Lane"/>
    <m/>
    <x v="0"/>
    <x v="0"/>
    <x v="0"/>
    <s v="No"/>
  </r>
  <r>
    <n v="443"/>
    <x v="62"/>
    <s v="Saturday"/>
    <s v="Same"/>
    <n v="54.34"/>
    <n v="10.66"/>
    <n v="0.19617224880382775"/>
    <n v="5"/>
    <d v="1899-12-30T17:59:00"/>
    <d v="1899-12-30T18:50:00"/>
    <d v="1899-12-30T00:51:00"/>
    <n v="51"/>
    <s v="6204 Southwind Lane"/>
    <m/>
    <x v="5"/>
    <x v="0"/>
    <x v="0"/>
    <s v="No"/>
  </r>
  <r>
    <n v="444"/>
    <x v="63"/>
    <s v="Sunday"/>
    <s v="Different"/>
    <n v="33.770000000000003"/>
    <n v="3"/>
    <n v="8.8836245188036705E-2"/>
    <n v="5"/>
    <d v="1899-12-30T16:35:00"/>
    <d v="1899-12-30T17:22:00"/>
    <d v="1899-12-30T00:47:00"/>
    <n v="47.000000000000007"/>
    <s v="8212 Bonny Bank"/>
    <m/>
    <x v="3"/>
    <x v="0"/>
    <x v="0"/>
    <s v="No"/>
  </r>
  <r>
    <n v="445"/>
    <x v="63"/>
    <s v="Sunday"/>
    <s v="Same"/>
    <n v="28.36"/>
    <n v="8"/>
    <n v="0.28208744710860367"/>
    <n v="5"/>
    <d v="1899-12-30T17:52:00"/>
    <d v="1899-12-30T18:34:00"/>
    <d v="1899-12-30T00:42:00"/>
    <n v="42"/>
    <s v="7904 Staley Drive"/>
    <m/>
    <x v="0"/>
    <x v="0"/>
    <x v="0"/>
    <s v="No"/>
  </r>
  <r>
    <n v="446"/>
    <x v="63"/>
    <s v="Sunday"/>
    <s v="Same"/>
    <n v="40.21"/>
    <n v="7"/>
    <n v="0.17408604824670479"/>
    <n v="5"/>
    <d v="1899-12-30T18:07:00"/>
    <d v="1899-12-30T18:40:00"/>
    <d v="1899-12-30T00:33:00"/>
    <n v="33"/>
    <s v="4126 Nobleman Drive"/>
    <m/>
    <x v="0"/>
    <x v="0"/>
    <x v="0"/>
    <s v="No"/>
  </r>
  <r>
    <n v="447"/>
    <x v="63"/>
    <s v="Sunday"/>
    <s v="Same"/>
    <n v="27.06"/>
    <n v="7.94"/>
    <n v="0.29342202512934223"/>
    <n v="1.5"/>
    <d v="1899-12-30T18:57:00"/>
    <d v="1899-12-30T19:23:00"/>
    <d v="1899-12-30T00:26:00"/>
    <n v="26"/>
    <s v="11264 Clover Knoll Drive"/>
    <m/>
    <x v="0"/>
    <x v="0"/>
    <x v="0"/>
    <s v="No"/>
  </r>
  <r>
    <n v="448"/>
    <x v="63"/>
    <s v="Sunday"/>
    <s v="Same"/>
    <n v="31.88"/>
    <n v="7"/>
    <n v="0.21957340025094105"/>
    <n v="7"/>
    <d v="1899-12-30T19:55:00"/>
    <d v="1899-12-30T20:28:00"/>
    <d v="1899-12-30T00:33:00"/>
    <n v="33"/>
    <s v="5137 Oak Knoll Drive"/>
    <m/>
    <x v="0"/>
    <x v="0"/>
    <x v="0"/>
    <s v="No"/>
  </r>
  <r>
    <n v="449"/>
    <x v="64"/>
    <s v="Friday"/>
    <s v="Different"/>
    <n v="18.350000000000001"/>
    <n v="3.65"/>
    <n v="0.19891008174386918"/>
    <n v="1.5"/>
    <d v="1899-12-30T16:49:00"/>
    <d v="1899-12-30T17:18:00"/>
    <d v="1899-12-30T00:29:00"/>
    <n v="29.000000000000004"/>
    <s v="5638 Braemar Drive"/>
    <m/>
    <x v="0"/>
    <x v="0"/>
    <x v="0"/>
    <s v="No"/>
  </r>
  <r>
    <n v="450"/>
    <x v="64"/>
    <s v="Friday"/>
    <s v="Same"/>
    <n v="36.479999999999997"/>
    <n v="5"/>
    <n v="0.13706140350877194"/>
    <n v="5"/>
    <d v="1899-12-30T16:53:00"/>
    <d v="1899-12-30T17:36:00"/>
    <d v="1899-12-30T00:43:00"/>
    <n v="43"/>
    <s v="13000 Railhead Court"/>
    <m/>
    <x v="0"/>
    <x v="0"/>
    <x v="0"/>
    <s v="No"/>
  </r>
  <r>
    <n v="451"/>
    <x v="64"/>
    <s v="Friday"/>
    <s v="Same"/>
    <n v="44.27"/>
    <n v="6"/>
    <n v="0.1355319629545968"/>
    <n v="1.5"/>
    <d v="1899-12-30T18:23:00"/>
    <d v="1899-12-30T18:56:00"/>
    <d v="1899-12-30T00:33:00"/>
    <n v="33"/>
    <s v="7008 Grand Hollow Drive"/>
    <m/>
    <x v="2"/>
    <x v="0"/>
    <x v="0"/>
    <s v="No"/>
  </r>
  <r>
    <n v="452"/>
    <x v="64"/>
    <s v="Friday"/>
    <s v="Same"/>
    <n v="46.44"/>
    <n v="8.56"/>
    <n v="0.1843238587424634"/>
    <n v="1.5"/>
    <d v="1899-12-30T18:30:00"/>
    <d v="1899-12-30T19:05:00"/>
    <d v="1899-12-30T00:35:00"/>
    <n v="35"/>
    <s v="6505 Twin Oaks Drive"/>
    <m/>
    <x v="2"/>
    <x v="0"/>
    <x v="0"/>
    <s v="No"/>
  </r>
  <r>
    <n v="453"/>
    <x v="64"/>
    <s v="Friday"/>
    <s v="Same"/>
    <n v="21.33"/>
    <n v="3"/>
    <n v="0.14064697609001409"/>
    <n v="1.5"/>
    <d v="1899-12-30T18:35:00"/>
    <d v="1899-12-30T19:24:00"/>
    <d v="1899-12-30T00:49:00"/>
    <n v="49"/>
    <s v="6080 Water Street"/>
    <n v="1493"/>
    <x v="2"/>
    <x v="0"/>
    <x v="1"/>
    <s v="No"/>
  </r>
  <r>
    <n v="454"/>
    <x v="64"/>
    <s v="Friday"/>
    <s v="Same"/>
    <n v="44.27"/>
    <n v="20"/>
    <n v="0.45177320984865593"/>
    <n v="5"/>
    <d v="1899-12-30T20:05:00"/>
    <d v="1899-12-30T20:42:00"/>
    <d v="1899-12-30T00:37:00"/>
    <n v="37"/>
    <s v="9822 Ranchero Drive"/>
    <m/>
    <x v="0"/>
    <x v="0"/>
    <x v="0"/>
    <s v="No"/>
  </r>
  <r>
    <n v="455"/>
    <x v="64"/>
    <s v="Friday"/>
    <s v="Same"/>
    <n v="23.27"/>
    <n v="5"/>
    <n v="0.21486892995272883"/>
    <n v="1.5"/>
    <d v="1899-12-30T21:03:00"/>
    <d v="1899-12-30T21:28:00"/>
    <d v="1899-12-30T00:25:00"/>
    <n v="25"/>
    <s v="5716 Martin Road"/>
    <n v="1334"/>
    <x v="2"/>
    <x v="0"/>
    <x v="1"/>
    <s v="No"/>
  </r>
  <r>
    <n v="456"/>
    <x v="65"/>
    <s v="Saturday"/>
    <s v="Different"/>
    <n v="29.66"/>
    <n v="5"/>
    <n v="0.16857720836142953"/>
    <n v="5"/>
    <d v="1899-12-30T17:30:00"/>
    <d v="1899-12-30T17:30:00"/>
    <d v="1899-12-30T00:00:00"/>
    <n v="0"/>
    <s v="3950 Guinn Gate Drive"/>
    <m/>
    <x v="0"/>
    <x v="0"/>
    <x v="0"/>
    <s v="Yes"/>
  </r>
  <r>
    <n v="457"/>
    <x v="65"/>
    <s v="Saturday"/>
    <s v="Same"/>
    <n v="32.69"/>
    <n v="7"/>
    <n v="0.21413276231263384"/>
    <n v="1.5"/>
    <d v="1899-12-30T17:33:00"/>
    <d v="1899-12-30T18:03:00"/>
    <d v="1899-12-30T00:30:00"/>
    <n v="30"/>
    <s v="5275 Town and Country Blvd"/>
    <n v="2124"/>
    <x v="0"/>
    <x v="0"/>
    <x v="1"/>
    <s v="No"/>
  </r>
  <r>
    <n v="458"/>
    <x v="65"/>
    <s v="Saturday"/>
    <s v="Same"/>
    <n v="35.72"/>
    <n v="6"/>
    <n v="0.16797312430011199"/>
    <n v="1.5"/>
    <d v="1899-12-30T18:06:00"/>
    <d v="1899-12-30T18:44:00"/>
    <d v="1899-12-30T00:38:00"/>
    <n v="38"/>
    <s v="3700 Legacy Drive"/>
    <n v="28203"/>
    <x v="0"/>
    <x v="0"/>
    <x v="1"/>
    <s v="No"/>
  </r>
  <r>
    <n v="459"/>
    <x v="65"/>
    <s v="Saturday"/>
    <s v="Same"/>
    <n v="29.99"/>
    <n v="4"/>
    <n v="0.13337779259753252"/>
    <n v="1.5"/>
    <d v="1899-12-30T18:18:00"/>
    <d v="1899-12-30T18:53:00"/>
    <d v="1899-12-30T00:35:00"/>
    <n v="35"/>
    <s v="5177 Iroquois Drive"/>
    <m/>
    <x v="0"/>
    <x v="0"/>
    <x v="0"/>
    <s v="No"/>
  </r>
  <r>
    <n v="460"/>
    <x v="65"/>
    <s v="Saturday"/>
    <s v="Same"/>
    <n v="99.2"/>
    <n v="10"/>
    <n v="0.10080645161290322"/>
    <n v="1.5"/>
    <d v="1899-12-30T19:11:00"/>
    <d v="1899-12-30T19:48:00"/>
    <d v="1899-12-30T00:37:00"/>
    <n v="37"/>
    <s v="7978 Stone River Drive"/>
    <m/>
    <x v="0"/>
    <x v="0"/>
    <x v="0"/>
    <s v="No"/>
  </r>
  <r>
    <n v="461"/>
    <x v="65"/>
    <s v="Saturday"/>
    <s v="Same"/>
    <n v="28.63"/>
    <n v="6"/>
    <n v="0.20957038071952497"/>
    <n v="1.5"/>
    <d v="1899-12-30T19:47:00"/>
    <d v="1899-12-30T20:20:00"/>
    <d v="1899-12-30T00:33:00"/>
    <n v="33"/>
    <s v="7921 Maddox Road"/>
    <m/>
    <x v="2"/>
    <x v="0"/>
    <x v="0"/>
    <s v="No"/>
  </r>
  <r>
    <n v="462"/>
    <x v="65"/>
    <s v="Saturday"/>
    <s v="Same"/>
    <n v="17.86"/>
    <n v="3.14"/>
    <n v="0.17581187010078389"/>
    <n v="1.5"/>
    <d v="1899-12-30T20:00:00"/>
    <d v="1899-12-30T20:28:00"/>
    <d v="1899-12-30T00:28:00"/>
    <n v="28"/>
    <s v="2620 Naomi Street"/>
    <m/>
    <x v="2"/>
    <x v="0"/>
    <x v="0"/>
    <s v="No"/>
  </r>
  <r>
    <n v="463"/>
    <x v="66"/>
    <s v="Sunday"/>
    <s v="Different"/>
    <n v="52.34"/>
    <n v="5"/>
    <n v="9.552923194497516E-2"/>
    <n v="1.5"/>
    <d v="1899-12-30T16:52:00"/>
    <d v="1899-12-30T17:20:00"/>
    <d v="1899-12-30T00:28:00"/>
    <n v="28"/>
    <s v="10009 Max Lane"/>
    <m/>
    <x v="0"/>
    <x v="0"/>
    <x v="0"/>
    <s v="No"/>
  </r>
  <r>
    <n v="464"/>
    <x v="66"/>
    <s v="Sunday"/>
    <s v="Same"/>
    <n v="27.01"/>
    <n v="5"/>
    <n v="0.18511662347278784"/>
    <n v="1.5"/>
    <d v="1899-12-30T18:01:00"/>
    <d v="1899-12-30T18:21:00"/>
    <d v="1899-12-30T00:20:00"/>
    <n v="20"/>
    <s v="7001 Parkwood Blvd"/>
    <n v="2103"/>
    <x v="2"/>
    <x v="0"/>
    <x v="1"/>
    <s v="No"/>
  </r>
  <r>
    <n v="465"/>
    <x v="66"/>
    <s v="Sunday"/>
    <s v="Same"/>
    <n v="39.4"/>
    <n v="5"/>
    <n v="0.12690355329949238"/>
    <n v="1.5"/>
    <d v="1899-12-30T18:26:00"/>
    <d v="1899-12-30T18:55:00"/>
    <d v="1899-12-30T00:29:00"/>
    <n v="29.000000000000004"/>
    <s v="10807 Tree Shadow Lane"/>
    <m/>
    <x v="0"/>
    <x v="0"/>
    <x v="0"/>
    <s v="No"/>
  </r>
  <r>
    <n v="466"/>
    <x v="66"/>
    <s v="Sunday"/>
    <s v="Same"/>
    <n v="30.04"/>
    <n v="6"/>
    <n v="0.19973368841544609"/>
    <n v="1.5"/>
    <d v="1899-12-30T18:28:00"/>
    <d v="1899-12-30T19:15:00"/>
    <d v="1899-12-30T00:47:00"/>
    <n v="47.000000000000007"/>
    <s v="2949 Parkwood Blvd"/>
    <n v="286"/>
    <x v="0"/>
    <x v="0"/>
    <x v="1"/>
    <s v="No"/>
  </r>
  <r>
    <n v="467"/>
    <x v="67"/>
    <s v="Friday"/>
    <s v="Different"/>
    <n v="36.159999999999997"/>
    <n v="7"/>
    <n v="0.1935840707964602"/>
    <n v="5"/>
    <d v="1899-12-30T16:26:00"/>
    <d v="1899-12-30T17:09:00"/>
    <d v="1899-12-30T00:43:00"/>
    <n v="43"/>
    <s v="962 Havenbrook Lane"/>
    <m/>
    <x v="0"/>
    <x v="0"/>
    <x v="0"/>
    <s v="No"/>
  </r>
  <r>
    <n v="468"/>
    <x v="67"/>
    <s v="Friday"/>
    <s v="Same"/>
    <n v="42.43"/>
    <n v="6"/>
    <n v="0.14140938015555032"/>
    <n v="5"/>
    <d v="1899-12-30T16:32:00"/>
    <d v="1899-12-30T17:13:00"/>
    <d v="1899-12-30T00:41:00"/>
    <n v="41"/>
    <s v="5484 Statesman Lane"/>
    <m/>
    <x v="0"/>
    <x v="0"/>
    <x v="0"/>
    <s v="No"/>
  </r>
  <r>
    <n v="469"/>
    <x v="67"/>
    <s v="Friday"/>
    <s v="Same"/>
    <n v="89.74"/>
    <n v="5"/>
    <n v="5.5716514374860714E-2"/>
    <n v="1.5"/>
    <d v="1899-12-30T17:49:00"/>
    <d v="1899-12-30T18:21:00"/>
    <d v="1899-12-30T00:32:00"/>
    <n v="32"/>
    <s v="5652 Perrin Street"/>
    <m/>
    <x v="3"/>
    <x v="0"/>
    <x v="0"/>
    <s v="No"/>
  </r>
  <r>
    <n v="470"/>
    <x v="67"/>
    <s v="Friday"/>
    <s v="Same"/>
    <n v="19.7"/>
    <n v="4"/>
    <n v="0.20304568527918782"/>
    <n v="5"/>
    <d v="1899-12-30T17:48:00"/>
    <d v="1899-12-30T18:40:00"/>
    <d v="1899-12-30T00:52:00"/>
    <n v="52"/>
    <s v="1036 Heathrow Drive"/>
    <m/>
    <x v="0"/>
    <x v="0"/>
    <x v="0"/>
    <s v="No"/>
  </r>
  <r>
    <n v="471"/>
    <x v="67"/>
    <s v="Friday"/>
    <s v="Same"/>
    <n v="45.9"/>
    <n v="6.5"/>
    <n v="0.14161220043572986"/>
    <n v="1.5"/>
    <d v="1899-12-30T19:07:00"/>
    <d v="1899-12-30T19:33:00"/>
    <d v="1899-12-30T00:26:00"/>
    <n v="26"/>
    <s v="5783 Versailles Avenue"/>
    <m/>
    <x v="0"/>
    <x v="3"/>
    <x v="0"/>
    <s v="No"/>
  </r>
  <r>
    <n v="472"/>
    <x v="67"/>
    <s v="Friday"/>
    <s v="Same"/>
    <n v="56.02"/>
    <n v="12"/>
    <n v="0.21420921099607282"/>
    <n v="1.5"/>
    <d v="1899-12-30T18:55:00"/>
    <d v="1899-12-30T19:41:00"/>
    <d v="1899-12-30T00:46:00"/>
    <n v="46.000000000000007"/>
    <s v="5001 Apache Circle"/>
    <m/>
    <x v="0"/>
    <x v="0"/>
    <x v="0"/>
    <s v="No"/>
  </r>
  <r>
    <n v="473"/>
    <x v="67"/>
    <s v="Friday"/>
    <s v="Same"/>
    <n v="39.19"/>
    <n v="7"/>
    <n v="0.17861699413115592"/>
    <n v="1.5"/>
    <d v="1899-12-30T19:47:00"/>
    <d v="1899-12-30T20:10:00"/>
    <d v="1899-12-30T00:23:00"/>
    <n v="23.000000000000004"/>
    <s v="10612 Wild Oak Drive"/>
    <m/>
    <x v="0"/>
    <x v="0"/>
    <x v="0"/>
    <s v="No"/>
  </r>
  <r>
    <n v="474"/>
    <x v="67"/>
    <s v="Friday"/>
    <s v="Same"/>
    <n v="53.38"/>
    <n v="3"/>
    <n v="5.6200824278756084E-2"/>
    <n v="1.5"/>
    <d v="1899-12-30T20:21:00"/>
    <d v="1899-12-30T20:45:00"/>
    <d v="1899-12-30T00:24:00"/>
    <n v="24"/>
    <s v="7600 John Q Hammons Blvd"/>
    <n v="623"/>
    <x v="0"/>
    <x v="0"/>
    <x v="2"/>
    <s v="No"/>
  </r>
  <r>
    <n v="475"/>
    <x v="67"/>
    <s v="Friday"/>
    <s v="Same"/>
    <n v="27.44"/>
    <n v="3"/>
    <n v="0.10932944606413994"/>
    <n v="1.5"/>
    <d v="1899-12-30T20:51:00"/>
    <d v="1899-12-30T21:12:00"/>
    <d v="1899-12-30T00:21:00"/>
    <n v="21"/>
    <s v="1614 Saint Johns Trail"/>
    <m/>
    <x v="0"/>
    <x v="0"/>
    <x v="1"/>
    <s v="No"/>
  </r>
  <r>
    <n v="476"/>
    <x v="67"/>
    <s v="Friday"/>
    <s v="Same"/>
    <n v="26.52"/>
    <n v="23.48"/>
    <n v="0.88536953242835603"/>
    <n v="1.5"/>
    <d v="1899-12-30T21:43:00"/>
    <d v="1899-12-30T22:02:00"/>
    <d v="1899-12-30T00:19:00"/>
    <n v="19"/>
    <s v="2356 Chelsea Drive"/>
    <m/>
    <x v="0"/>
    <x v="0"/>
    <x v="0"/>
    <s v="No"/>
  </r>
  <r>
    <n v="477"/>
    <x v="68"/>
    <s v="Saturday"/>
    <s v="Different"/>
    <n v="16.18"/>
    <n v="2"/>
    <n v="0.12360939431396786"/>
    <n v="1.5"/>
    <d v="1899-12-30T17:40:00"/>
    <d v="1899-12-30T17:40:00"/>
    <d v="1899-12-30T00:00:00"/>
    <n v="0"/>
    <s v="10040 Danbury Drive"/>
    <m/>
    <x v="0"/>
    <x v="0"/>
    <x v="0"/>
    <s v="Yes"/>
  </r>
  <r>
    <n v="478"/>
    <x v="68"/>
    <s v="Saturday"/>
    <s v="Same"/>
    <n v="26.74"/>
    <n v="0"/>
    <n v="0"/>
    <n v="1.5"/>
    <d v="1899-12-30T17:39:00"/>
    <d v="1899-12-30T18:57:00"/>
    <d v="1899-12-30T01:18:00"/>
    <n v="78"/>
    <s v="4405 Newcastle Drive"/>
    <m/>
    <x v="0"/>
    <x v="0"/>
    <x v="0"/>
    <s v="No"/>
  </r>
  <r>
    <n v="479"/>
    <x v="68"/>
    <s v="Saturday"/>
    <s v="Same"/>
    <n v="48.7"/>
    <n v="3"/>
    <n v="6.1601642710472276E-2"/>
    <n v="1.5"/>
    <d v="1899-12-30T17:41:00"/>
    <d v="1899-12-30T18:34:00"/>
    <d v="1899-12-30T00:53:00"/>
    <n v="53"/>
    <s v="2521 Brentwood Drive"/>
    <m/>
    <x v="0"/>
    <x v="0"/>
    <x v="0"/>
    <s v="No"/>
  </r>
  <r>
    <n v="480"/>
    <x v="68"/>
    <s v="Saturday"/>
    <s v="Same"/>
    <n v="36.26"/>
    <n v="5"/>
    <n v="0.13789299503585217"/>
    <n v="5"/>
    <d v="1899-12-30T17:34:00"/>
    <d v="1899-12-30T18:44:00"/>
    <d v="1899-12-30T01:10:00"/>
    <n v="70"/>
    <s v="8248 Inverness"/>
    <m/>
    <x v="3"/>
    <x v="0"/>
    <x v="0"/>
    <s v="No"/>
  </r>
  <r>
    <n v="481"/>
    <x v="68"/>
    <s v="Saturday"/>
    <s v="Same"/>
    <n v="20.239999999999998"/>
    <n v="4"/>
    <n v="0.19762845849802374"/>
    <n v="1.5"/>
    <d v="1899-12-30T18:43:00"/>
    <d v="1899-12-30T19:32:00"/>
    <d v="1899-12-30T00:49:00"/>
    <n v="49"/>
    <s v="3512 Burnet Drive"/>
    <m/>
    <x v="2"/>
    <x v="0"/>
    <x v="0"/>
    <s v="No"/>
  </r>
  <r>
    <n v="482"/>
    <x v="68"/>
    <s v="Saturday"/>
    <s v="Same"/>
    <n v="21.87"/>
    <n v="12"/>
    <n v="0.54869684499314131"/>
    <n v="1.5"/>
    <d v="1899-12-30T19:31:00"/>
    <d v="1899-12-30T20:08:00"/>
    <d v="1899-12-30T00:37:00"/>
    <n v="37"/>
    <s v="6102 Canvas Back Drive"/>
    <m/>
    <x v="0"/>
    <x v="2"/>
    <x v="0"/>
    <s v="No"/>
  </r>
  <r>
    <n v="483"/>
    <x v="68"/>
    <s v="Saturday"/>
    <s v="Same"/>
    <n v="63.27"/>
    <n v="10"/>
    <n v="0.158052789631737"/>
    <n v="5"/>
    <d v="1899-12-30T19:45:00"/>
    <d v="1899-12-30T20:27:00"/>
    <d v="1899-12-30T00:42:00"/>
    <n v="42"/>
    <s v="11368 Dorchester Lane"/>
    <m/>
    <x v="0"/>
    <x v="0"/>
    <x v="0"/>
    <s v="No"/>
  </r>
  <r>
    <n v="484"/>
    <x v="69"/>
    <s v="Sunday"/>
    <s v="Different"/>
    <n v="25.11"/>
    <n v="6"/>
    <n v="0.23894862604540024"/>
    <n v="1.5"/>
    <d v="1899-12-30T16:41:00"/>
    <d v="1899-12-30T17:09:00"/>
    <d v="1899-12-30T00:28:00"/>
    <n v="28"/>
    <s v="4116 Sardinia Way"/>
    <m/>
    <x v="0"/>
    <x v="0"/>
    <x v="0"/>
    <s v="No"/>
  </r>
  <r>
    <n v="485"/>
    <x v="69"/>
    <s v="Sunday"/>
    <s v="Same"/>
    <n v="32.58"/>
    <n v="5"/>
    <n v="0.1534683855125844"/>
    <n v="1.5"/>
    <d v="1899-12-30T16:44:00"/>
    <d v="1899-12-30T17:26:00"/>
    <d v="1899-12-30T00:42:00"/>
    <n v="42"/>
    <s v="5540 King Drive"/>
    <m/>
    <x v="3"/>
    <x v="0"/>
    <x v="0"/>
    <s v="No"/>
  </r>
  <r>
    <n v="486"/>
    <x v="69"/>
    <s v="Sunday"/>
    <s v="Same"/>
    <n v="21.33"/>
    <n v="4"/>
    <n v="0.18752930145335209"/>
    <n v="1.5"/>
    <d v="1899-12-30T17:40:00"/>
    <d v="1899-12-30T18:06:00"/>
    <d v="1899-12-30T00:26:00"/>
    <n v="26"/>
    <s v="4000 Morning Star Road"/>
    <m/>
    <x v="2"/>
    <x v="0"/>
    <x v="0"/>
    <s v="No"/>
  </r>
  <r>
    <n v="487"/>
    <x v="69"/>
    <s v="Sunday"/>
    <s v="Same"/>
    <n v="53.2"/>
    <n v="10"/>
    <n v="0.18796992481203006"/>
    <n v="1.5"/>
    <d v="1899-12-30T18:15:00"/>
    <d v="1899-12-30T18:42:00"/>
    <d v="1899-12-30T00:27:00"/>
    <n v="26.999999999999996"/>
    <s v="11106 Jereme Trail"/>
    <m/>
    <x v="0"/>
    <x v="0"/>
    <x v="0"/>
    <s v="No"/>
  </r>
  <r>
    <n v="488"/>
    <x v="69"/>
    <s v="Sunday"/>
    <s v="Same"/>
    <n v="30.58"/>
    <n v="19.420000000000002"/>
    <n v="0.63505559189012439"/>
    <n v="1.5"/>
    <d v="1899-12-30T18:57:00"/>
    <d v="1899-12-30T19:12:00"/>
    <d v="1899-12-30T00:15:00"/>
    <n v="15"/>
    <s v="2356 Chelsea Drive"/>
    <m/>
    <x v="0"/>
    <x v="0"/>
    <x v="0"/>
    <s v="No"/>
  </r>
  <r>
    <n v="489"/>
    <x v="69"/>
    <s v="Sunday"/>
    <s v="Same"/>
    <n v="44.06"/>
    <n v="5"/>
    <n v="0.11348161597821152"/>
    <n v="5"/>
    <d v="1899-12-30T19:12:00"/>
    <d v="1899-12-30T19:52:00"/>
    <d v="1899-12-30T00:40:00"/>
    <n v="40"/>
    <s v="7621 Blackhall "/>
    <m/>
    <x v="3"/>
    <x v="0"/>
    <x v="0"/>
    <s v="No"/>
  </r>
  <r>
    <n v="490"/>
    <x v="69"/>
    <s v="Sunday"/>
    <s v="Same"/>
    <n v="54.56"/>
    <n v="5"/>
    <n v="9.1642228739002934E-2"/>
    <n v="5"/>
    <d v="1899-12-30T19:23:00"/>
    <d v="1899-12-30T20:01:00"/>
    <d v="1899-12-30T00:38:00"/>
    <n v="38"/>
    <s v="1180 Ranch Gate Lane"/>
    <m/>
    <x v="0"/>
    <x v="0"/>
    <x v="0"/>
    <s v="No"/>
  </r>
  <r>
    <n v="491"/>
    <x v="69"/>
    <s v="Sunday"/>
    <s v="Same"/>
    <n v="22.41"/>
    <n v="5"/>
    <n v="0.22311468094600626"/>
    <n v="1.5"/>
    <d v="1899-12-30T20:51:00"/>
    <d v="1899-12-30T21:12:00"/>
    <d v="1899-12-30T00:21:00"/>
    <n v="21"/>
    <s v="4671 Cecile Road"/>
    <m/>
    <x v="2"/>
    <x v="0"/>
    <x v="0"/>
    <s v="No"/>
  </r>
  <r>
    <n v="492"/>
    <x v="70"/>
    <s v="Friday"/>
    <s v="Different"/>
    <n v="51.69"/>
    <n v="8.31"/>
    <n v="0.16076610562971563"/>
    <n v="7"/>
    <d v="1899-12-30T16:23:00"/>
    <d v="1899-12-30T17:13:00"/>
    <d v="1899-12-30T00:50:00"/>
    <n v="50"/>
    <s v="3724 Adelaide"/>
    <m/>
    <x v="3"/>
    <x v="0"/>
    <x v="0"/>
    <s v="No"/>
  </r>
  <r>
    <n v="493"/>
    <x v="70"/>
    <s v="Friday"/>
    <s v="Same"/>
    <n v="15.7"/>
    <n v="0"/>
    <n v="0"/>
    <n v="1.5"/>
    <d v="1899-12-30T17:30:00"/>
    <d v="1899-12-30T18:02:00"/>
    <d v="1899-12-30T00:32:00"/>
    <n v="32"/>
    <s v="4613 Republic Drive"/>
    <m/>
    <x v="0"/>
    <x v="4"/>
    <x v="0"/>
    <s v="No"/>
  </r>
  <r>
    <n v="494"/>
    <x v="70"/>
    <s v="Friday"/>
    <s v="Same"/>
    <n v="49.96"/>
    <n v="3"/>
    <n v="6.0048038430744598E-2"/>
    <n v="1.5"/>
    <d v="1899-12-30T17:47:00"/>
    <d v="1899-12-30T18:42:00"/>
    <d v="1899-12-30T00:55:00"/>
    <n v="54.999999999999993"/>
    <s v="3112 Vidalia Lane"/>
    <m/>
    <x v="2"/>
    <x v="0"/>
    <x v="0"/>
    <s v="No"/>
  </r>
  <r>
    <n v="495"/>
    <x v="70"/>
    <s v="Friday"/>
    <s v="Same"/>
    <n v="38.369999999999997"/>
    <n v="10"/>
    <n v="0.26062027625749284"/>
    <n v="1.5"/>
    <d v="1899-12-30T17:57:00"/>
    <d v="1899-12-30T18:46:00"/>
    <d v="1899-12-30T00:49:00"/>
    <n v="49"/>
    <s v="3412 Paradise Valley Drive"/>
    <m/>
    <x v="2"/>
    <x v="0"/>
    <x v="0"/>
    <s v="No"/>
  </r>
  <r>
    <n v="496"/>
    <x v="70"/>
    <s v="Friday"/>
    <s v="Same"/>
    <n v="42.11"/>
    <n v="8"/>
    <n v="0.18997862740441701"/>
    <n v="5"/>
    <d v="1899-12-30T18:11:00"/>
    <d v="1899-12-30T18:53:00"/>
    <d v="1899-12-30T00:42:00"/>
    <n v="42"/>
    <s v="2601 Geiberger Drive"/>
    <m/>
    <x v="2"/>
    <x v="0"/>
    <x v="0"/>
    <s v="No"/>
  </r>
  <r>
    <n v="497"/>
    <x v="70"/>
    <s v="Friday"/>
    <s v="Same"/>
    <n v="40.270000000000003"/>
    <n v="10"/>
    <n v="0.24832381425378691"/>
    <n v="1.5"/>
    <d v="1899-12-30T18:15:00"/>
    <d v="1899-12-30T19:06:00"/>
    <d v="1899-12-30T00:51:00"/>
    <n v="51"/>
    <s v="11304 Jereme Trail"/>
    <m/>
    <x v="0"/>
    <x v="0"/>
    <x v="0"/>
    <s v="No"/>
  </r>
  <r>
    <n v="498"/>
    <x v="70"/>
    <s v="Friday"/>
    <s v="Same"/>
    <n v="64.84"/>
    <n v="10"/>
    <n v="0.1542257865515114"/>
    <n v="5"/>
    <d v="1899-12-30T19:40:00"/>
    <d v="1899-12-30T19:40:00"/>
    <d v="1899-12-30T00:00:00"/>
    <n v="0"/>
    <s v="15163 Woodbluff Drive"/>
    <m/>
    <x v="0"/>
    <x v="0"/>
    <x v="0"/>
    <s v="Yes"/>
  </r>
  <r>
    <n v="499"/>
    <x v="70"/>
    <s v="Friday"/>
    <s v="Same"/>
    <n v="31.38"/>
    <n v="7"/>
    <n v="0.22307202039515617"/>
    <n v="1.5"/>
    <d v="1899-12-30T19:02:00"/>
    <d v="1899-12-30T20:01:00"/>
    <d v="1899-12-30T00:59:00"/>
    <n v="59"/>
    <s v="6712 Carmel Valley Drive"/>
    <m/>
    <x v="0"/>
    <x v="0"/>
    <x v="0"/>
    <s v="No"/>
  </r>
  <r>
    <n v="500"/>
    <x v="70"/>
    <s v="Friday"/>
    <s v="Same"/>
    <n v="47.03"/>
    <n v="8"/>
    <n v="0.17010418881564959"/>
    <n v="1.5"/>
    <d v="1899-12-30T19:04:00"/>
    <d v="1899-12-30T20:08:00"/>
    <d v="1899-12-30T01:04:00"/>
    <n v="64"/>
    <s v="5635 Imperial Meadow Drive"/>
    <m/>
    <x v="0"/>
    <x v="0"/>
    <x v="0"/>
    <s v="No"/>
  </r>
  <r>
    <n v="501"/>
    <x v="70"/>
    <s v="Friday"/>
    <s v="Same"/>
    <n v="64.290000000000006"/>
    <n v="20"/>
    <n v="0.3110903717529942"/>
    <n v="1.5"/>
    <d v="1899-12-30T19:06:00"/>
    <d v="1899-12-30T20:12:00"/>
    <d v="1899-12-30T01:06:00"/>
    <n v="66"/>
    <s v="10216 Cecile Drive"/>
    <m/>
    <x v="0"/>
    <x v="0"/>
    <x v="0"/>
    <s v="No"/>
  </r>
  <r>
    <n v="502"/>
    <x v="70"/>
    <s v="Friday"/>
    <s v="Same"/>
    <n v="18.350000000000001"/>
    <n v="2"/>
    <n v="0.108991825613079"/>
    <n v="1.5"/>
    <d v="1899-12-30T20:00:00"/>
    <d v="1899-12-30T20:42:00"/>
    <d v="1899-12-30T00:42:00"/>
    <n v="42"/>
    <s v="7645 Junegrass Lane"/>
    <m/>
    <x v="0"/>
    <x v="0"/>
    <x v="0"/>
    <s v="No"/>
  </r>
  <r>
    <n v="503"/>
    <x v="71"/>
    <s v="Saturday"/>
    <s v="Different"/>
    <n v="25.66"/>
    <n v="5"/>
    <n v="0.19485580670303976"/>
    <n v="1.5"/>
    <d v="1899-12-30T16:57:00"/>
    <d v="1899-12-30T17:38:00"/>
    <d v="1899-12-30T00:41:00"/>
    <n v="41"/>
    <s v="3200 Rifle Gap Road"/>
    <n v="1124"/>
    <x v="0"/>
    <x v="0"/>
    <x v="1"/>
    <s v="No"/>
  </r>
  <r>
    <n v="504"/>
    <x v="71"/>
    <s v="Saturday"/>
    <s v="Same"/>
    <n v="42.22"/>
    <n v="15"/>
    <n v="0.35528185693983894"/>
    <n v="1.5"/>
    <d v="1899-12-30T17:14:00"/>
    <d v="1899-12-30T17:47:00"/>
    <d v="1899-12-30T00:33:00"/>
    <n v="33"/>
    <s v="3717 Andover Drive"/>
    <m/>
    <x v="0"/>
    <x v="0"/>
    <x v="0"/>
    <s v="No"/>
  </r>
  <r>
    <n v="505"/>
    <x v="71"/>
    <s v="Saturday"/>
    <s v="Same"/>
    <n v="43.79"/>
    <n v="16.21"/>
    <n v="0.37017583923270153"/>
    <n v="5"/>
    <d v="1899-12-30T17:10:00"/>
    <d v="1899-12-30T18:06:00"/>
    <d v="1899-12-30T00:56:00"/>
    <n v="56"/>
    <s v="8728 Paradise Drive"/>
    <m/>
    <x v="5"/>
    <x v="0"/>
    <x v="0"/>
    <s v="No"/>
  </r>
  <r>
    <n v="506"/>
    <x v="71"/>
    <s v="Saturday"/>
    <s v="Same"/>
    <n v="67.33"/>
    <n v="10"/>
    <n v="0.14852220406950839"/>
    <n v="1.5"/>
    <d v="1899-12-30T17:53:00"/>
    <d v="1899-12-30T18:40:00"/>
    <d v="1899-12-30T00:47:00"/>
    <n v="47.000000000000007"/>
    <s v="6001 Baton Rouge Blvd"/>
    <m/>
    <x v="0"/>
    <x v="0"/>
    <x v="0"/>
    <s v="No"/>
  </r>
  <r>
    <n v="507"/>
    <x v="71"/>
    <s v="Saturday"/>
    <s v="Same"/>
    <n v="27.55"/>
    <n v="17.45"/>
    <n v="0.6333938294010889"/>
    <n v="5"/>
    <d v="1899-12-30T18:05:00"/>
    <d v="1899-12-30T18:53:00"/>
    <d v="1899-12-30T00:48:00"/>
    <n v="48"/>
    <s v="8061 Hillside Drive"/>
    <m/>
    <x v="0"/>
    <x v="0"/>
    <x v="0"/>
    <s v="No"/>
  </r>
  <r>
    <n v="508"/>
    <x v="71"/>
    <s v="Saturday"/>
    <s v="Same"/>
    <n v="34.04"/>
    <n v="6"/>
    <n v="0.17626321974148063"/>
    <n v="5"/>
    <d v="1899-12-30T18:07:00"/>
    <d v="1899-12-30T19:04:00"/>
    <d v="1899-12-30T00:57:00"/>
    <n v="57"/>
    <s v="12249 Lazio Lane"/>
    <m/>
    <x v="0"/>
    <x v="0"/>
    <x v="0"/>
    <s v="No"/>
  </r>
  <r>
    <n v="509"/>
    <x v="71"/>
    <s v="Saturday"/>
    <s v="Same"/>
    <n v="47.74"/>
    <n v="6.26"/>
    <n v="0.13112693757855048"/>
    <n v="1.5"/>
    <d v="1899-12-30T19:26:00"/>
    <d v="1899-12-30T19:50:00"/>
    <d v="1899-12-30T00:24:00"/>
    <n v="24"/>
    <s v="5533 Donley Drive"/>
    <m/>
    <x v="0"/>
    <x v="0"/>
    <x v="0"/>
    <s v="No"/>
  </r>
  <r>
    <n v="510"/>
    <x v="71"/>
    <s v="Saturday"/>
    <s v="Same"/>
    <n v="104.95"/>
    <n v="7"/>
    <n v="6.6698427822772743E-2"/>
    <n v="1.5"/>
    <d v="1899-12-30T19:15:00"/>
    <d v="1899-12-30T19:54:00"/>
    <d v="1899-12-30T00:39:00"/>
    <n v="39"/>
    <s v="2338 Chelsea Drive"/>
    <m/>
    <x v="0"/>
    <x v="0"/>
    <x v="0"/>
    <s v="No"/>
  </r>
  <r>
    <n v="511"/>
    <x v="71"/>
    <s v="Saturday"/>
    <s v="Same"/>
    <n v="36.43"/>
    <n v="5"/>
    <n v="0.1372495196266813"/>
    <n v="1.5"/>
    <d v="1899-12-30T19:22:00"/>
    <d v="1899-12-30T20:04:00"/>
    <d v="1899-12-30T00:42:00"/>
    <n v="42"/>
    <s v="4552 Florence Drive"/>
    <m/>
    <x v="0"/>
    <x v="0"/>
    <x v="0"/>
    <s v="No"/>
  </r>
  <r>
    <n v="512"/>
    <x v="71"/>
    <s v="Saturday"/>
    <s v="Same"/>
    <n v="30.85"/>
    <n v="4"/>
    <n v="0.12965964343598055"/>
    <n v="1.5"/>
    <d v="1899-12-30T19:19:00"/>
    <d v="1899-12-30T20:13:00"/>
    <d v="1899-12-30T00:54:00"/>
    <n v="53.999999999999993"/>
    <s v="409 Rosehill Lane"/>
    <n v="409"/>
    <x v="0"/>
    <x v="0"/>
    <x v="1"/>
    <s v="No"/>
  </r>
  <r>
    <n v="513"/>
    <x v="71"/>
    <s v="Saturday"/>
    <s v="Same"/>
    <n v="17"/>
    <n v="6"/>
    <n v="0.35294117647058826"/>
    <n v="1.5"/>
    <d v="1899-12-30T19:18:00"/>
    <d v="1899-12-30T20:20:00"/>
    <d v="1899-12-30T01:02:00"/>
    <n v="62.000000000000007"/>
    <s v="6713 Massa Lane"/>
    <m/>
    <x v="0"/>
    <x v="0"/>
    <x v="0"/>
    <s v="No"/>
  </r>
  <r>
    <n v="514"/>
    <x v="72"/>
    <s v="Sunday"/>
    <s v="Different"/>
    <n v="22.41"/>
    <n v="3.59"/>
    <n v="0.16019634091923249"/>
    <n v="1.5"/>
    <d v="1899-12-30T16:35:00"/>
    <d v="1899-12-30T17:03:00"/>
    <d v="1899-12-30T00:28:00"/>
    <n v="28"/>
    <s v="7309 David Drive"/>
    <m/>
    <x v="0"/>
    <x v="0"/>
    <x v="0"/>
    <s v="No"/>
  </r>
  <r>
    <n v="515"/>
    <x v="72"/>
    <s v="Sunday"/>
    <s v="Same"/>
    <n v="75.400000000000006"/>
    <n v="20"/>
    <n v="0.2652519893899204"/>
    <n v="5"/>
    <d v="1899-12-30T17:14:00"/>
    <d v="1899-12-30T17:42:00"/>
    <d v="1899-12-30T00:28:00"/>
    <n v="28"/>
    <s v="7604 Wassland Drive"/>
    <m/>
    <x v="2"/>
    <x v="0"/>
    <x v="0"/>
    <s v="No"/>
  </r>
  <r>
    <n v="516"/>
    <x v="72"/>
    <s v="Sunday"/>
    <s v="Same"/>
    <n v="18.62"/>
    <n v="3"/>
    <n v="0.16111707841031148"/>
    <n v="5"/>
    <d v="1899-12-30T17:50:00"/>
    <d v="1899-12-30T18:29:00"/>
    <d v="1899-12-30T00:39:00"/>
    <n v="39"/>
    <s v="595 Kimblewick Drive"/>
    <m/>
    <x v="0"/>
    <x v="0"/>
    <x v="0"/>
    <s v="No"/>
  </r>
  <r>
    <n v="517"/>
    <x v="72"/>
    <s v="Sunday"/>
    <s v="Same"/>
    <n v="29.44"/>
    <n v="4"/>
    <n v="0.1358695652173913"/>
    <n v="5"/>
    <d v="1899-12-30T17:51:00"/>
    <d v="1899-12-30T18:42:00"/>
    <d v="1899-12-30T00:51:00"/>
    <n v="51"/>
    <s v="2259 Dampton Drive"/>
    <m/>
    <x v="0"/>
    <x v="0"/>
    <x v="0"/>
    <s v="No"/>
  </r>
  <r>
    <n v="518"/>
    <x v="72"/>
    <s v="Sunday"/>
    <s v="Same"/>
    <n v="139.53"/>
    <n v="20"/>
    <n v="0.14333835017558949"/>
    <n v="5"/>
    <d v="1899-12-30T17:56:00"/>
    <d v="1899-12-30T18:50:00"/>
    <d v="1899-12-30T00:54:00"/>
    <n v="53.999999999999993"/>
    <s v="2035 Sleepy Hollow Trail"/>
    <m/>
    <x v="0"/>
    <x v="0"/>
    <x v="0"/>
    <s v="No"/>
  </r>
  <r>
    <n v="519"/>
    <x v="72"/>
    <s v="Sunday"/>
    <s v="Same"/>
    <n v="45.68"/>
    <n v="6"/>
    <n v="0.13134851138353765"/>
    <n v="1.5"/>
    <d v="1899-12-30T19:02:00"/>
    <d v="1899-12-30T19:44:00"/>
    <d v="1899-12-30T00:42:00"/>
    <n v="42"/>
    <s v="6737 Pecan Chase Lane"/>
    <m/>
    <x v="0"/>
    <x v="0"/>
    <x v="0"/>
    <s v="No"/>
  </r>
  <r>
    <n v="520"/>
    <x v="72"/>
    <s v="Sunday"/>
    <s v="Same"/>
    <n v="38.47"/>
    <n v="4"/>
    <n v="0.10397712503249286"/>
    <n v="1.5"/>
    <d v="1899-12-30T19:10:00"/>
    <d v="1899-12-30T19:54:00"/>
    <d v="1899-12-30T00:44:00"/>
    <n v="44"/>
    <s v="4062 Sevilla Drive"/>
    <m/>
    <x v="0"/>
    <x v="0"/>
    <x v="0"/>
    <s v="No"/>
  </r>
  <r>
    <n v="521"/>
    <x v="72"/>
    <s v="Sunday"/>
    <s v="Same"/>
    <n v="19.7"/>
    <n v="7"/>
    <n v="0.35532994923857869"/>
    <n v="1.5"/>
    <d v="1899-12-30T19:20:00"/>
    <d v="1899-12-30T20:03:00"/>
    <d v="1899-12-30T00:43:00"/>
    <n v="43"/>
    <s v="4672 Parma Lane"/>
    <m/>
    <x v="0"/>
    <x v="0"/>
    <x v="0"/>
    <s v="No"/>
  </r>
  <r>
    <n v="522"/>
    <x v="73"/>
    <s v="Friday"/>
    <s v="Different"/>
    <n v="44.54"/>
    <n v="3"/>
    <n v="6.7355186349348894E-2"/>
    <n v="1.5"/>
    <d v="1899-12-30T16:14:00"/>
    <d v="1899-12-30T17:03:00"/>
    <d v="1899-12-30T00:49:00"/>
    <n v="49"/>
    <s v="4619 Wicklow Drive"/>
    <m/>
    <x v="0"/>
    <x v="0"/>
    <x v="0"/>
    <s v="No"/>
  </r>
  <r>
    <n v="523"/>
    <x v="73"/>
    <s v="Friday"/>
    <s v="Same"/>
    <n v="75.290000000000006"/>
    <n v="13"/>
    <n v="0.17266569265506707"/>
    <n v="5"/>
    <d v="1899-12-30T16:34:00"/>
    <d v="1899-12-30T17:15:00"/>
    <d v="1899-12-30T00:41:00"/>
    <n v="41"/>
    <s v="3554 Bellaire Court"/>
    <m/>
    <x v="0"/>
    <x v="0"/>
    <x v="0"/>
    <s v="No"/>
  </r>
  <r>
    <n v="524"/>
    <x v="73"/>
    <s v="Friday"/>
    <s v="Same"/>
    <n v="57.37"/>
    <n v="20"/>
    <n v="0.34861425832316545"/>
    <n v="7"/>
    <d v="1899-12-30T16:31:00"/>
    <d v="1899-12-30T17:25:00"/>
    <d v="1899-12-30T00:54:00"/>
    <n v="53.999999999999993"/>
    <s v="2753 Cactus Trail"/>
    <m/>
    <x v="0"/>
    <x v="0"/>
    <x v="0"/>
    <s v="No"/>
  </r>
  <r>
    <n v="525"/>
    <x v="73"/>
    <s v="Friday"/>
    <s v="Same"/>
    <n v="22.41"/>
    <n v="3"/>
    <n v="0.13386880856760375"/>
    <n v="1.5"/>
    <d v="1899-12-30T17:33:00"/>
    <d v="1899-12-30T18:12:00"/>
    <d v="1899-12-30T00:39:00"/>
    <n v="39"/>
    <s v="5177 Iroquois Drive"/>
    <m/>
    <x v="0"/>
    <x v="0"/>
    <x v="0"/>
    <s v="No"/>
  </r>
  <r>
    <n v="526"/>
    <x v="73"/>
    <s v="Friday"/>
    <s v="Same"/>
    <n v="30.85"/>
    <n v="3"/>
    <n v="9.7244732576985404E-2"/>
    <n v="1.5"/>
    <d v="1899-12-30T18:15:00"/>
    <d v="1899-12-30T18:51:00"/>
    <d v="1899-12-30T00:36:00"/>
    <n v="36"/>
    <s v="6628 Woodland Hills Lane"/>
    <m/>
    <x v="2"/>
    <x v="0"/>
    <x v="0"/>
    <s v="No"/>
  </r>
  <r>
    <n v="527"/>
    <x v="73"/>
    <s v="Friday"/>
    <s v="Same"/>
    <n v="53.2"/>
    <n v="10"/>
    <n v="0.18796992481203006"/>
    <n v="1.5"/>
    <d v="1899-12-30T18:19:00"/>
    <d v="1899-12-30T18:54:00"/>
    <d v="1899-12-30T00:35:00"/>
    <n v="35"/>
    <s v="6552 Briar Ridge Lane"/>
    <m/>
    <x v="2"/>
    <x v="0"/>
    <x v="0"/>
    <s v="No"/>
  </r>
  <r>
    <n v="528"/>
    <x v="73"/>
    <s v="Friday"/>
    <s v="Same"/>
    <n v="14.83"/>
    <n v="3"/>
    <n v="0.20229265003371544"/>
    <n v="1.5"/>
    <d v="1899-12-30T18:23:00"/>
    <d v="1899-12-30T19:05:00"/>
    <d v="1899-12-30T00:42:00"/>
    <n v="42"/>
    <s v="5675 Lake District Drive"/>
    <n v="212"/>
    <x v="3"/>
    <x v="0"/>
    <x v="1"/>
    <s v="No"/>
  </r>
  <r>
    <n v="529"/>
    <x v="73"/>
    <s v="Friday"/>
    <s v="Same"/>
    <n v="143.27000000000001"/>
    <n v="25"/>
    <n v="0.17449570740559781"/>
    <n v="1.5"/>
    <d v="1899-12-30T19:45:00"/>
    <d v="1899-12-30T19:45:00"/>
    <d v="1899-12-30T00:00:00"/>
    <n v="0"/>
    <s v="4656 Thanksgiving Lane"/>
    <m/>
    <x v="2"/>
    <x v="0"/>
    <x v="0"/>
    <s v="Yes"/>
  </r>
  <r>
    <n v="530"/>
    <x v="73"/>
    <s v="Friday"/>
    <s v="Same"/>
    <n v="34.26"/>
    <n v="10.74"/>
    <n v="0.31348511383537658"/>
    <n v="1.5"/>
    <d v="1899-12-30T19:19:00"/>
    <d v="1899-12-30T19:52:00"/>
    <d v="1899-12-30T00:33:00"/>
    <n v="33"/>
    <s v="4673 Edith Street"/>
    <m/>
    <x v="2"/>
    <x v="0"/>
    <x v="0"/>
    <s v="No"/>
  </r>
  <r>
    <n v="531"/>
    <x v="73"/>
    <s v="Friday"/>
    <s v="Same"/>
    <n v="34.32"/>
    <n v="5"/>
    <n v="0.14568764568764569"/>
    <n v="1.5"/>
    <d v="1899-12-30T19:06:00"/>
    <d v="1899-12-30T20:04:00"/>
    <d v="1899-12-30T00:58:00"/>
    <n v="58.000000000000007"/>
    <s v="3004 Vidalia Lane"/>
    <m/>
    <x v="2"/>
    <x v="0"/>
    <x v="0"/>
    <s v="No"/>
  </r>
  <r>
    <n v="532"/>
    <x v="74"/>
    <s v="Tuesday"/>
    <s v="Different"/>
    <n v="34.86"/>
    <n v="10"/>
    <n v="0.2868617326448652"/>
    <n v="5"/>
    <d v="1899-12-30T17:48:00"/>
    <d v="1899-12-30T19:04:00"/>
    <d v="1899-12-30T01:16:00"/>
    <n v="76"/>
    <s v="2607 Sir Turquin Lane"/>
    <m/>
    <x v="1"/>
    <x v="0"/>
    <x v="0"/>
    <s v="No"/>
  </r>
  <r>
    <n v="533"/>
    <x v="74"/>
    <s v="Tuesday"/>
    <s v="Same"/>
    <n v="37.42"/>
    <n v="4.58"/>
    <n v="0.12239444147514697"/>
    <n v="1.5"/>
    <d v="1899-12-30T17:56:00"/>
    <d v="1899-12-30T19:20:00"/>
    <d v="1899-12-30T01:24:00"/>
    <n v="84"/>
    <s v="6825 Bonaparte Court"/>
    <m/>
    <x v="2"/>
    <x v="6"/>
    <x v="0"/>
    <s v="No"/>
  </r>
  <r>
    <n v="534"/>
    <x v="74"/>
    <s v="Tuesday"/>
    <s v="Same"/>
    <n v="56.67"/>
    <n v="6"/>
    <n v="0.10587612493382742"/>
    <n v="1.5"/>
    <d v="1899-12-30T19:10:00"/>
    <d v="1899-12-30T19:55:00"/>
    <d v="1899-12-30T00:45:00"/>
    <n v="45"/>
    <s v="6109 Highview Drive"/>
    <m/>
    <x v="2"/>
    <x v="0"/>
    <x v="0"/>
    <s v="No"/>
  </r>
  <r>
    <n v="535"/>
    <x v="74"/>
    <s v="Tuesday"/>
    <s v="Same"/>
    <n v="35.4"/>
    <n v="6.6"/>
    <n v="0.1864406779661017"/>
    <n v="1.5"/>
    <d v="1899-12-30T19:20:00"/>
    <d v="1899-12-30T20:08:00"/>
    <d v="1899-12-30T00:48:00"/>
    <n v="48"/>
    <s v="5701 Lake District Drive"/>
    <n v="16"/>
    <x v="3"/>
    <x v="0"/>
    <x v="1"/>
    <s v="No"/>
  </r>
  <r>
    <n v="536"/>
    <x v="74"/>
    <s v="Tuesday"/>
    <s v="Same"/>
    <n v="32.369999999999997"/>
    <n v="7"/>
    <n v="0.21624961383997529"/>
    <n v="1.5"/>
    <d v="1899-12-30T19:48:00"/>
    <d v="1899-12-30T20:38:00"/>
    <d v="1899-12-30T00:50:00"/>
    <n v="50"/>
    <s v="6900 Bishop Road"/>
    <n v="4111"/>
    <x v="2"/>
    <x v="0"/>
    <x v="1"/>
    <s v="No"/>
  </r>
  <r>
    <n v="537"/>
    <x v="74"/>
    <s v="Tuesday"/>
    <s v="Same"/>
    <n v="31.61"/>
    <n v="8.39"/>
    <n v="0.26542233470420756"/>
    <n v="1.5"/>
    <d v="1899-12-30T19:53:00"/>
    <d v="1899-12-30T20:49:00"/>
    <d v="1899-12-30T00:56:00"/>
    <n v="56"/>
    <s v="4612 Reunion Drive"/>
    <m/>
    <x v="2"/>
    <x v="0"/>
    <x v="0"/>
    <s v="No"/>
  </r>
  <r>
    <n v="538"/>
    <x v="74"/>
    <s v="Tuesday"/>
    <s v="Same"/>
    <n v="22.41"/>
    <n v="3"/>
    <n v="0.13386880856760375"/>
    <n v="1.5"/>
    <d v="1899-12-30T20:18:00"/>
    <d v="1899-12-30T20:58:00"/>
    <d v="1899-12-30T00:40:00"/>
    <n v="40"/>
    <s v="8300 Bartley Circle"/>
    <m/>
    <x v="2"/>
    <x v="0"/>
    <x v="0"/>
    <s v="No"/>
  </r>
  <r>
    <n v="539"/>
    <x v="74"/>
    <s v="Tuesday"/>
    <s v="Same"/>
    <n v="30.31"/>
    <n v="6.79"/>
    <n v="0.22401847575057737"/>
    <n v="1.5"/>
    <d v="1899-12-30T21:22:00"/>
    <d v="1899-12-30T21:40:00"/>
    <d v="1899-12-30T00:18:00"/>
    <n v="18"/>
    <s v="7500 Bishop Road"/>
    <n v="1214"/>
    <x v="2"/>
    <x v="0"/>
    <x v="1"/>
    <s v="No"/>
  </r>
  <r>
    <n v="540"/>
    <x v="75"/>
    <s v="Friday"/>
    <s v="Different"/>
    <n v="61.27"/>
    <n v="7"/>
    <n v="0.11424840868287905"/>
    <n v="1.5"/>
    <d v="1899-12-30T18:17:00"/>
    <d v="1899-12-30T18:50:00"/>
    <d v="1899-12-30T00:33:00"/>
    <n v="33"/>
    <s v="7635 Brookview Drive"/>
    <m/>
    <x v="0"/>
    <x v="0"/>
    <x v="0"/>
    <s v="No"/>
  </r>
  <r>
    <n v="541"/>
    <x v="75"/>
    <s v="Friday"/>
    <s v="Same"/>
    <n v="28.9"/>
    <n v="6.1"/>
    <n v="0.21107266435986158"/>
    <n v="1.5"/>
    <d v="1899-12-30T19:39:00"/>
    <d v="1899-12-30T20:07:00"/>
    <d v="1899-12-30T00:28:00"/>
    <n v="28"/>
    <s v="5805 Granite Parkway"/>
    <n v="822"/>
    <x v="2"/>
    <x v="0"/>
    <x v="2"/>
    <s v="No"/>
  </r>
  <r>
    <n v="542"/>
    <x v="75"/>
    <s v="Friday"/>
    <s v="Same"/>
    <n v="25.11"/>
    <n v="6.89"/>
    <n v="0.27439267224213459"/>
    <n v="1.5"/>
    <d v="1899-12-30T19:45:00"/>
    <d v="1899-12-30T20:20:00"/>
    <d v="1899-12-30T00:35:00"/>
    <n v="35"/>
    <s v="5732 Cadence Lane"/>
    <m/>
    <x v="2"/>
    <x v="0"/>
    <x v="0"/>
    <s v="No"/>
  </r>
  <r>
    <n v="543"/>
    <x v="76"/>
    <s v="Saturday"/>
    <s v="Different"/>
    <n v="88.55"/>
    <n v="8"/>
    <n v="9.0344438170525135E-2"/>
    <n v="1.5"/>
    <d v="1899-12-30T17:56:00"/>
    <d v="1899-12-30T18:29:00"/>
    <d v="1899-12-30T00:33:00"/>
    <n v="33"/>
    <s v="5644 Trego Street"/>
    <m/>
    <x v="3"/>
    <x v="0"/>
    <x v="0"/>
    <s v="No"/>
  </r>
  <r>
    <n v="544"/>
    <x v="76"/>
    <s v="Saturday"/>
    <s v="Same"/>
    <n v="117.99"/>
    <n v="10"/>
    <n v="8.4752945164844481E-2"/>
    <n v="1.5"/>
    <d v="1899-12-30T18:53:00"/>
    <d v="1899-12-30T19:24:00"/>
    <d v="1899-12-30T00:31:00"/>
    <n v="31.000000000000004"/>
    <s v="3004 Vidalia Lane"/>
    <m/>
    <x v="2"/>
    <x v="0"/>
    <x v="0"/>
    <s v="No"/>
  </r>
  <r>
    <n v="545"/>
    <x v="76"/>
    <s v="Saturday"/>
    <s v="Same"/>
    <n v="33.229999999999997"/>
    <n v="6"/>
    <n v="0.18055973517905508"/>
    <n v="1.5"/>
    <d v="1899-12-30T19:57:00"/>
    <d v="1899-12-30T20:27:00"/>
    <d v="1899-12-30T00:30:00"/>
    <n v="30"/>
    <s v="4999 Stillwater Trail"/>
    <m/>
    <x v="0"/>
    <x v="2"/>
    <x v="0"/>
    <s v="No"/>
  </r>
  <r>
    <n v="546"/>
    <x v="77"/>
    <s v="Friday"/>
    <s v="Different"/>
    <n v="6.17"/>
    <n v="3.83"/>
    <n v="0.62074554294975692"/>
    <n v="1.5"/>
    <d v="1899-12-30T17:55:00"/>
    <d v="1899-12-30T18:25:00"/>
    <d v="1899-12-30T00:30:00"/>
    <n v="30"/>
    <s v="7255 Texas Ranger Drive"/>
    <n v="1123"/>
    <x v="0"/>
    <x v="0"/>
    <x v="1"/>
    <s v="No"/>
  </r>
  <r>
    <n v="547"/>
    <x v="77"/>
    <s v="Friday"/>
    <s v="Same"/>
    <n v="15.7"/>
    <n v="2"/>
    <n v="0.12738853503184713"/>
    <n v="1.5"/>
    <d v="1899-12-30T18:12:00"/>
    <d v="1899-12-30T18:44:00"/>
    <d v="1899-12-30T00:32:00"/>
    <n v="32"/>
    <s v="2949 Parkwood Blvd"/>
    <n v="253"/>
    <x v="0"/>
    <x v="0"/>
    <x v="1"/>
    <s v="No"/>
  </r>
  <r>
    <n v="548"/>
    <x v="77"/>
    <s v="Friday"/>
    <s v="Same"/>
    <n v="25.93"/>
    <n v="4"/>
    <n v="0.15426147319706904"/>
    <n v="1.5"/>
    <d v="1899-12-30T17:57:00"/>
    <d v="1899-12-30T18:57:00"/>
    <d v="1899-12-30T01:00:00"/>
    <n v="60"/>
    <s v="9688 Wyndbrook Drive"/>
    <m/>
    <x v="0"/>
    <x v="0"/>
    <x v="0"/>
    <s v="No"/>
  </r>
  <r>
    <n v="549"/>
    <x v="77"/>
    <s v="Friday"/>
    <s v="Same"/>
    <n v="17"/>
    <n v="4"/>
    <n v="0.23529411764705882"/>
    <n v="1.5"/>
    <d v="1899-12-30T19:15:00"/>
    <d v="1899-12-30T19:46:00"/>
    <d v="1899-12-30T00:31:00"/>
    <n v="31.000000000000004"/>
    <s v="6584 Sundown Trail"/>
    <m/>
    <x v="0"/>
    <x v="2"/>
    <x v="0"/>
    <s v="No"/>
  </r>
  <r>
    <n v="550"/>
    <x v="77"/>
    <s v="Friday"/>
    <s v="Same"/>
    <n v="27.6"/>
    <n v="6"/>
    <n v="0.21739130434782608"/>
    <n v="1.5"/>
    <d v="1899-12-30T19:23:00"/>
    <d v="1899-12-30T19:55:00"/>
    <d v="1899-12-30T00:32:00"/>
    <n v="32"/>
    <s v="3700 Legacy Drive"/>
    <n v="28203"/>
    <x v="0"/>
    <x v="0"/>
    <x v="1"/>
    <s v="No"/>
  </r>
  <r>
    <n v="551"/>
    <x v="77"/>
    <s v="Friday"/>
    <s v="Same"/>
    <n v="28.9"/>
    <n v="5"/>
    <n v="0.17301038062283738"/>
    <n v="1.5"/>
    <d v="1899-12-30T20:24:00"/>
    <d v="1899-12-30T20:51:00"/>
    <d v="1899-12-30T00:27:00"/>
    <n v="26.999999999999996"/>
    <s v="3392 Mayflower Drive"/>
    <m/>
    <x v="0"/>
    <x v="4"/>
    <x v="0"/>
    <s v="No"/>
  </r>
  <r>
    <n v="552"/>
    <x v="78"/>
    <s v="Saturday"/>
    <s v="Different"/>
    <n v="20.68"/>
    <n v="10.32"/>
    <n v="0.49903288201160545"/>
    <n v="1.5"/>
    <d v="1899-12-30T16:53:00"/>
    <d v="1899-12-30T17:19:00"/>
    <d v="1899-12-30T00:26:00"/>
    <n v="26"/>
    <s v="5602 Democracy Drive"/>
    <m/>
    <x v="2"/>
    <x v="0"/>
    <x v="3"/>
    <s v="No"/>
  </r>
  <r>
    <n v="553"/>
    <x v="78"/>
    <s v="Saturday"/>
    <s v="Same"/>
    <n v="21.05"/>
    <n v="5.95"/>
    <n v="0.28266033254156769"/>
    <n v="1.5"/>
    <d v="1899-12-30T17:44:00"/>
    <d v="1899-12-30T18:08:00"/>
    <d v="1899-12-30T00:24:00"/>
    <n v="24"/>
    <s v="7600 John Q Hammons Blvd"/>
    <n v="520"/>
    <x v="0"/>
    <x v="0"/>
    <x v="2"/>
    <s v="No"/>
  </r>
  <r>
    <n v="554"/>
    <x v="78"/>
    <s v="Saturday"/>
    <s v="Same"/>
    <n v="40.86"/>
    <n v="10"/>
    <n v="0.24473813020068527"/>
    <n v="7"/>
    <d v="1899-12-30T17:52:00"/>
    <d v="1899-12-30T18:27:00"/>
    <d v="1899-12-30T00:35:00"/>
    <n v="35"/>
    <s v="8601 Wakefied Drive"/>
    <m/>
    <x v="5"/>
    <x v="0"/>
    <x v="0"/>
    <s v="No"/>
  </r>
  <r>
    <n v="555"/>
    <x v="78"/>
    <s v="Saturday"/>
    <s v="Same"/>
    <n v="22.73"/>
    <n v="3"/>
    <n v="0.13198416190057194"/>
    <n v="1.5"/>
    <d v="1899-12-30T18:57:00"/>
    <d v="1899-12-30T19:41:00"/>
    <d v="1899-12-30T00:44:00"/>
    <n v="44"/>
    <s v="5444 TX-121"/>
    <m/>
    <x v="0"/>
    <x v="0"/>
    <x v="2"/>
    <s v="No"/>
  </r>
  <r>
    <n v="556"/>
    <x v="78"/>
    <s v="Saturday"/>
    <s v="Same"/>
    <n v="46.49"/>
    <n v="7"/>
    <n v="0.15057001505700149"/>
    <n v="5"/>
    <d v="1899-12-30T19:14:00"/>
    <d v="1899-12-30T19:56:00"/>
    <d v="1899-12-30T00:42:00"/>
    <n v="42"/>
    <s v="2570 Clearfield Lane"/>
    <m/>
    <x v="0"/>
    <x v="0"/>
    <x v="0"/>
    <s v="No"/>
  </r>
  <r>
    <n v="557"/>
    <x v="78"/>
    <s v="Saturday"/>
    <s v="Same"/>
    <n v="27.6"/>
    <n v="4"/>
    <n v="0.14492753623188406"/>
    <n v="1.5"/>
    <d v="1899-12-30T20:03:00"/>
    <d v="1899-12-30T20:38:00"/>
    <d v="1899-12-30T00:35:00"/>
    <n v="35"/>
    <s v="4401 Druid Hills Drive"/>
    <m/>
    <x v="0"/>
    <x v="0"/>
    <x v="0"/>
    <s v="No"/>
  </r>
  <r>
    <n v="558"/>
    <x v="78"/>
    <s v="Saturday"/>
    <s v="Same"/>
    <n v="20.78"/>
    <n v="4"/>
    <n v="0.19249278152069296"/>
    <n v="5"/>
    <d v="1899-12-30T20:20:00"/>
    <d v="1899-12-30T20:48:00"/>
    <d v="1899-12-30T00:28:00"/>
    <n v="28"/>
    <s v="1856 Sandstone Drive"/>
    <m/>
    <x v="0"/>
    <x v="0"/>
    <x v="0"/>
    <s v="No"/>
  </r>
  <r>
    <n v="559"/>
    <x v="78"/>
    <s v="Saturday"/>
    <s v="Same"/>
    <n v="24.03"/>
    <n v="0"/>
    <n v="0"/>
    <n v="7"/>
    <d v="1899-12-30T20:09:00"/>
    <d v="1899-12-30T21:03:00"/>
    <d v="1899-12-30T00:54:00"/>
    <n v="53.999999999999993"/>
    <s v="9700 Dallas Parkway"/>
    <m/>
    <x v="0"/>
    <x v="0"/>
    <x v="2"/>
    <s v="No"/>
  </r>
  <r>
    <n v="560"/>
    <x v="79"/>
    <s v="Sunday"/>
    <s v="Different"/>
    <n v="22.41"/>
    <n v="8"/>
    <n v="0.35698348951360998"/>
    <n v="1.5"/>
    <d v="1899-12-30T16:24:00"/>
    <d v="1899-12-30T17:05:00"/>
    <d v="1899-12-30T00:41:00"/>
    <n v="41"/>
    <s v="6080 Water Street"/>
    <m/>
    <x v="2"/>
    <x v="0"/>
    <x v="1"/>
    <s v="No"/>
  </r>
  <r>
    <n v="561"/>
    <x v="79"/>
    <s v="Sunday"/>
    <s v="Same"/>
    <n v="37.56"/>
    <n v="7"/>
    <n v="0.18636847710330137"/>
    <n v="1.5"/>
    <d v="1899-12-30T16:27:00"/>
    <d v="1899-12-30T17:10:00"/>
    <d v="1899-12-30T00:43:00"/>
    <n v="43"/>
    <s v="6085 Water Street"/>
    <m/>
    <x v="2"/>
    <x v="0"/>
    <x v="1"/>
    <s v="No"/>
  </r>
  <r>
    <n v="562"/>
    <x v="79"/>
    <s v="Sunday"/>
    <s v="Same"/>
    <n v="30.31"/>
    <n v="9.69"/>
    <n v="0.31969646981194327"/>
    <n v="1.5"/>
    <d v="1899-12-30T17:01:00"/>
    <d v="1899-12-30T17:39:00"/>
    <d v="1899-12-30T00:38:00"/>
    <n v="38"/>
    <s v="3312 Westwind Drive"/>
    <m/>
    <x v="2"/>
    <x v="0"/>
    <x v="0"/>
    <s v="No"/>
  </r>
  <r>
    <n v="563"/>
    <x v="79"/>
    <s v="Sunday"/>
    <s v="Same"/>
    <n v="98.67"/>
    <n v="15"/>
    <n v="0.15202189115232592"/>
    <n v="5"/>
    <d v="1899-12-30T17:17:00"/>
    <d v="1899-12-30T17:54:00"/>
    <d v="1899-12-30T00:37:00"/>
    <n v="37"/>
    <s v="2516 Avalon Drive"/>
    <m/>
    <x v="1"/>
    <x v="0"/>
    <x v="0"/>
    <s v="No"/>
  </r>
  <r>
    <n v="564"/>
    <x v="79"/>
    <s v="Sunday"/>
    <s v="Same"/>
    <n v="29.17"/>
    <n v="3"/>
    <n v="0.10284538909838875"/>
    <n v="1.5"/>
    <d v="1899-12-30T18:11:00"/>
    <d v="1899-12-30T18:49:00"/>
    <d v="1899-12-30T00:38:00"/>
    <n v="38"/>
    <s v="3229 Edwards Drive"/>
    <m/>
    <x v="2"/>
    <x v="0"/>
    <x v="0"/>
    <s v="No"/>
  </r>
  <r>
    <n v="565"/>
    <x v="79"/>
    <s v="Sunday"/>
    <s v="Same"/>
    <n v="29.17"/>
    <n v="8"/>
    <n v="0.27425437092903665"/>
    <n v="1.5"/>
    <d v="1899-12-30T18:24:00"/>
    <d v="1899-12-30T18:56:00"/>
    <d v="1899-12-30T00:32:00"/>
    <n v="32"/>
    <s v="8401 Becket Circle"/>
    <m/>
    <x v="2"/>
    <x v="0"/>
    <x v="0"/>
    <s v="No"/>
  </r>
  <r>
    <n v="566"/>
    <x v="79"/>
    <s v="Sunday"/>
    <s v="Same"/>
    <n v="35.130000000000003"/>
    <n v="8"/>
    <n v="0.22772559066325077"/>
    <n v="1.5"/>
    <d v="1899-12-30T18:26:00"/>
    <d v="1899-12-30T19:02:00"/>
    <d v="1899-12-30T00:36:00"/>
    <n v="36"/>
    <s v="4104 Norcross Drive"/>
    <m/>
    <x v="2"/>
    <x v="0"/>
    <x v="0"/>
    <s v="No"/>
  </r>
  <r>
    <n v="567"/>
    <x v="79"/>
    <s v="Sunday"/>
    <s v="Same"/>
    <n v="73.77"/>
    <n v="7"/>
    <n v="9.4889521485698805E-2"/>
    <n v="1.5"/>
    <d v="1899-12-30T18:15:00"/>
    <d v="1899-12-30T19:09:00"/>
    <d v="1899-12-30T00:54:00"/>
    <n v="53.999999999999993"/>
    <s v="3321 Chantilly Drive"/>
    <m/>
    <x v="2"/>
    <x v="0"/>
    <x v="0"/>
    <s v="No"/>
  </r>
  <r>
    <n v="568"/>
    <x v="79"/>
    <s v="Sunday"/>
    <s v="Same"/>
    <n v="28.15"/>
    <n v="16.850000000000001"/>
    <n v="0.59857904085257552"/>
    <n v="1.5"/>
    <d v="1899-12-30T19:17:00"/>
    <d v="1899-12-30T19:39:00"/>
    <d v="1899-12-30T00:22:00"/>
    <n v="22"/>
    <s v="2356 Chelsea Drive"/>
    <m/>
    <x v="0"/>
    <x v="0"/>
    <x v="0"/>
    <s v="No"/>
  </r>
  <r>
    <n v="569"/>
    <x v="80"/>
    <s v="Friday"/>
    <s v="Different"/>
    <n v="35.18"/>
    <n v="5.32"/>
    <n v="0.15122228538942581"/>
    <n v="1.5"/>
    <d v="1899-12-30T16:23:00"/>
    <d v="1899-12-30T16:52:00"/>
    <d v="1899-12-30T00:29:00"/>
    <n v="29.000000000000004"/>
    <s v="5765 Bozeman Drive"/>
    <n v="2319"/>
    <x v="2"/>
    <x v="0"/>
    <x v="1"/>
    <s v="No"/>
  </r>
  <r>
    <n v="570"/>
    <x v="80"/>
    <s v="Friday"/>
    <s v="Same"/>
    <n v="22.14"/>
    <n v="4"/>
    <n v="0.18066847335140018"/>
    <n v="1.5"/>
    <d v="1899-12-30T18:05:00"/>
    <d v="1899-12-30T18:40:00"/>
    <d v="1899-12-30T00:35:00"/>
    <n v="35"/>
    <s v="5872 Copper Canyon Drive"/>
    <m/>
    <x v="3"/>
    <x v="0"/>
    <x v="0"/>
    <s v="No"/>
  </r>
  <r>
    <n v="571"/>
    <x v="80"/>
    <s v="Friday"/>
    <s v="Same"/>
    <n v="32.69"/>
    <n v="5"/>
    <n v="0.15295197308045275"/>
    <n v="1.5"/>
    <d v="1899-12-30T18:14:00"/>
    <d v="1899-12-30T18:49:00"/>
    <d v="1899-12-30T00:35:00"/>
    <n v="35"/>
    <s v="4607 Haverford Drive"/>
    <m/>
    <x v="0"/>
    <x v="0"/>
    <x v="0"/>
    <s v="No"/>
  </r>
  <r>
    <n v="572"/>
    <x v="80"/>
    <s v="Friday"/>
    <s v="Same"/>
    <n v="23.49"/>
    <n v="3"/>
    <n v="0.1277139208173691"/>
    <n v="5"/>
    <d v="1899-12-30T18:07:00"/>
    <d v="1899-12-30T19:01:00"/>
    <d v="1899-12-30T00:54:00"/>
    <n v="53.999999999999993"/>
    <s v="3705 Amherst Drive"/>
    <m/>
    <x v="0"/>
    <x v="0"/>
    <x v="0"/>
    <s v="No"/>
  </r>
  <r>
    <n v="573"/>
    <x v="80"/>
    <s v="Friday"/>
    <s v="Same"/>
    <n v="83.73"/>
    <n v="10"/>
    <n v="0.11943150603129105"/>
    <n v="5"/>
    <d v="1899-12-30T18:16:00"/>
    <d v="1899-12-30T19:11:00"/>
    <d v="1899-12-30T00:55:00"/>
    <n v="54.999999999999993"/>
    <s v="9928 Madrone Drive"/>
    <m/>
    <x v="0"/>
    <x v="0"/>
    <x v="0"/>
    <s v="No"/>
  </r>
  <r>
    <n v="574"/>
    <x v="81"/>
    <s v="Saturday"/>
    <s v="Different"/>
    <n v="36.43"/>
    <n v="5"/>
    <n v="0.1372495196266813"/>
    <n v="1.5"/>
    <d v="1899-12-30T16:31:00"/>
    <d v="1899-12-30T17:17:00"/>
    <d v="1899-12-30T00:46:00"/>
    <n v="46.000000000000007"/>
    <s v="9950 TX-121"/>
    <m/>
    <x v="0"/>
    <x v="0"/>
    <x v="3"/>
    <s v="No"/>
  </r>
  <r>
    <n v="575"/>
    <x v="81"/>
    <s v="Saturday"/>
    <s v="Same"/>
    <n v="39.4"/>
    <n v="6"/>
    <n v="0.15228426395939088"/>
    <n v="5"/>
    <d v="1899-12-30T18:00:00"/>
    <d v="1899-12-30T18:39:00"/>
    <d v="1899-12-30T00:39:00"/>
    <n v="39"/>
    <s v="8204 Turtleback Court"/>
    <m/>
    <x v="5"/>
    <x v="0"/>
    <x v="0"/>
    <s v="No"/>
  </r>
  <r>
    <n v="576"/>
    <x v="81"/>
    <s v="Saturday"/>
    <s v="Same"/>
    <n v="25.11"/>
    <n v="3"/>
    <n v="0.11947431302270012"/>
    <n v="1.5"/>
    <d v="1899-12-30T18:05:00"/>
    <d v="1899-12-30T18:58:00"/>
    <d v="1899-12-30T00:53:00"/>
    <n v="53"/>
    <s v="5775 Parkwood Blvd"/>
    <n v="333"/>
    <x v="0"/>
    <x v="0"/>
    <x v="1"/>
    <s v="No"/>
  </r>
  <r>
    <n v="577"/>
    <x v="81"/>
    <s v="Saturday"/>
    <s v="Same"/>
    <n v="40.270000000000003"/>
    <n v="8"/>
    <n v="0.19865905140302953"/>
    <n v="1.5"/>
    <d v="1899-12-30T19:05:00"/>
    <d v="1899-12-30T19:37:00"/>
    <d v="1899-12-30T00:32:00"/>
    <n v="32"/>
    <s v="4340 Florentine Lane"/>
    <m/>
    <x v="0"/>
    <x v="0"/>
    <x v="0"/>
    <s v="No"/>
  </r>
  <r>
    <n v="578"/>
    <x v="81"/>
    <s v="Saturday"/>
    <s v="Same"/>
    <n v="24.3"/>
    <n v="4"/>
    <n v="0.16460905349794239"/>
    <n v="1.5"/>
    <d v="1899-12-30T19:55:00"/>
    <d v="1899-12-30T20:23:00"/>
    <d v="1899-12-30T00:28:00"/>
    <n v="28"/>
    <s v="10612 Memphis Drive"/>
    <m/>
    <x v="0"/>
    <x v="0"/>
    <x v="0"/>
    <s v="No"/>
  </r>
  <r>
    <n v="579"/>
    <x v="82"/>
    <s v="Sunday"/>
    <s v="Different"/>
    <n v="77.400000000000006"/>
    <n v="6"/>
    <n v="7.7519379844961239E-2"/>
    <n v="1.5"/>
    <d v="1899-12-30T16:54:00"/>
    <d v="1899-12-30T17:27:00"/>
    <d v="1899-12-30T00:33:00"/>
    <n v="33"/>
    <s v="5151 Burkett Drive"/>
    <m/>
    <x v="0"/>
    <x v="2"/>
    <x v="0"/>
    <s v="No"/>
  </r>
  <r>
    <n v="580"/>
    <x v="82"/>
    <s v="Sunday"/>
    <s v="Same"/>
    <n v="43.84"/>
    <n v="10"/>
    <n v="0.22810218978102187"/>
    <n v="5"/>
    <d v="1899-12-30T16:47:00"/>
    <d v="1899-12-30T17:41:00"/>
    <d v="1899-12-30T00:54:00"/>
    <n v="53.999999999999993"/>
    <s v="3740 Silver Oaks Lane"/>
    <m/>
    <x v="0"/>
    <x v="0"/>
    <x v="0"/>
    <s v="No"/>
  </r>
  <r>
    <n v="581"/>
    <x v="82"/>
    <s v="Sunday"/>
    <s v="Same"/>
    <n v="69.44"/>
    <n v="20"/>
    <n v="0.28801843317972353"/>
    <n v="1.5"/>
    <d v="1899-12-30T18:09:00"/>
    <d v="1899-12-30T18:46:00"/>
    <d v="1899-12-30T00:37:00"/>
    <n v="37"/>
    <s v="5436 Stone Canyon Drive"/>
    <m/>
    <x v="0"/>
    <x v="2"/>
    <x v="0"/>
    <s v="No"/>
  </r>
  <r>
    <n v="582"/>
    <x v="82"/>
    <s v="Sunday"/>
    <s v="Same"/>
    <n v="22.14"/>
    <n v="4"/>
    <n v="0.18066847335140018"/>
    <n v="1.5"/>
    <d v="1899-12-30T18:13:00"/>
    <d v="1899-12-30T19:01:00"/>
    <d v="1899-12-30T00:48:00"/>
    <n v="48"/>
    <s v="5200 Town and Country Blvd"/>
    <n v="1427"/>
    <x v="0"/>
    <x v="0"/>
    <x v="1"/>
    <s v="No"/>
  </r>
  <r>
    <n v="583"/>
    <x v="82"/>
    <s v="Sunday"/>
    <s v="Same"/>
    <n v="56.72"/>
    <n v="4"/>
    <n v="7.0521861777150918E-2"/>
    <n v="1.5"/>
    <d v="1899-12-30T18:59:00"/>
    <d v="1899-12-30T19:26:00"/>
    <d v="1899-12-30T00:27:00"/>
    <n v="26.999999999999996"/>
    <s v="4509 Firewheel Drive"/>
    <m/>
    <x v="2"/>
    <x v="0"/>
    <x v="0"/>
    <s v="No"/>
  </r>
  <r>
    <n v="584"/>
    <x v="82"/>
    <s v="Sunday"/>
    <s v="Same"/>
    <n v="35.18"/>
    <n v="5.82"/>
    <n v="0.16543490619670267"/>
    <n v="1.5"/>
    <d v="1899-12-30T18:57:00"/>
    <d v="1899-12-30T19:37:00"/>
    <d v="1899-12-30T00:40:00"/>
    <n v="40"/>
    <s v="3817 Lakedale Drive"/>
    <m/>
    <x v="2"/>
    <x v="0"/>
    <x v="0"/>
    <s v="No"/>
  </r>
  <r>
    <n v="585"/>
    <x v="83"/>
    <s v="Friday"/>
    <s v="Different"/>
    <n v="53.31"/>
    <n v="5"/>
    <n v="9.3791033577190014E-2"/>
    <n v="5"/>
    <d v="1899-12-30T17:56:00"/>
    <d v="1899-12-30T18:29:00"/>
    <d v="1899-12-30T00:33:00"/>
    <n v="33"/>
    <s v="2216 Hunters Run Drive"/>
    <m/>
    <x v="2"/>
    <x v="0"/>
    <x v="0"/>
    <s v="No"/>
  </r>
  <r>
    <n v="586"/>
    <x v="83"/>
    <s v="Friday"/>
    <s v="Same"/>
    <n v="88.03"/>
    <n v="5"/>
    <n v="5.6798818584573439E-2"/>
    <n v="1.5"/>
    <d v="1899-12-30T18:38:00"/>
    <d v="1899-12-30T19:08:00"/>
    <d v="1899-12-30T00:30:00"/>
    <n v="30"/>
    <s v="7300 Parkwood Blvd"/>
    <m/>
    <x v="2"/>
    <x v="0"/>
    <x v="3"/>
    <s v="No"/>
  </r>
  <r>
    <n v="587"/>
    <x v="83"/>
    <s v="Friday"/>
    <s v="Same"/>
    <n v="64.349999999999994"/>
    <n v="18"/>
    <n v="0.27972027972027974"/>
    <n v="5"/>
    <d v="1899-12-30T18:40:00"/>
    <d v="1899-12-30T19:37:00"/>
    <d v="1899-12-30T00:57:00"/>
    <n v="57"/>
    <s v="4244 Colton Drive"/>
    <m/>
    <x v="4"/>
    <x v="0"/>
    <x v="0"/>
    <s v="No"/>
  </r>
  <r>
    <n v="588"/>
    <x v="83"/>
    <s v="Friday"/>
    <s v="Same"/>
    <n v="29.44"/>
    <n v="6.3"/>
    <n v="0.2139945652173913"/>
    <n v="1.5"/>
    <d v="1899-12-30T19:29:00"/>
    <d v="1899-12-30T20:08:00"/>
    <d v="1899-12-30T00:39:00"/>
    <n v="39"/>
    <s v="7755 John Q Hammons Drive"/>
    <n v="1121"/>
    <x v="0"/>
    <x v="0"/>
    <x v="1"/>
    <s v="No"/>
  </r>
  <r>
    <n v="589"/>
    <x v="83"/>
    <s v="Friday"/>
    <s v="Same"/>
    <n v="25.98"/>
    <n v="2.02"/>
    <n v="7.7752117013086985E-2"/>
    <n v="1.5"/>
    <d v="1899-12-30T20:15:00"/>
    <d v="1899-12-30T20:37:00"/>
    <d v="1899-12-30T00:22:00"/>
    <n v="22"/>
    <s v="6533 Sleepy Spring Drive"/>
    <m/>
    <x v="2"/>
    <x v="0"/>
    <x v="0"/>
    <s v="No"/>
  </r>
  <r>
    <n v="590"/>
    <x v="84"/>
    <s v="Saturday"/>
    <s v="Different"/>
    <n v="41.35"/>
    <n v="5.65"/>
    <n v="0.13663845223700122"/>
    <n v="1.5"/>
    <d v="1899-12-30T17:23:00"/>
    <d v="1899-12-30T17:47:00"/>
    <d v="1899-12-30T00:24:00"/>
    <n v="24"/>
    <s v="6621 Terrace Mills Lane"/>
    <m/>
    <x v="2"/>
    <x v="0"/>
    <x v="0"/>
    <s v="No"/>
  </r>
  <r>
    <n v="591"/>
    <x v="84"/>
    <s v="Saturday"/>
    <s v="Same"/>
    <n v="37.450000000000003"/>
    <n v="10"/>
    <n v="0.26702269692923897"/>
    <n v="1.5"/>
    <d v="1899-12-30T18:07:00"/>
    <d v="1899-12-30T18:40:00"/>
    <d v="1899-12-30T00:33:00"/>
    <n v="33"/>
    <s v="3 Harbour Town Court"/>
    <m/>
    <x v="0"/>
    <x v="1"/>
    <x v="0"/>
    <s v="No"/>
  </r>
  <r>
    <n v="592"/>
    <x v="84"/>
    <s v="Saturday"/>
    <s v="Same"/>
    <n v="20.239999999999998"/>
    <n v="3"/>
    <n v="0.14822134387351779"/>
    <n v="1.5"/>
    <d v="1899-12-30T18:12:00"/>
    <d v="1899-12-30T18:52:00"/>
    <d v="1899-12-30T00:40:00"/>
    <n v="40"/>
    <s v="4290 Kate Drive"/>
    <m/>
    <x v="0"/>
    <x v="0"/>
    <x v="0"/>
    <s v="No"/>
  </r>
  <r>
    <n v="593"/>
    <x v="85"/>
    <s v="Sunday"/>
    <s v="Different"/>
    <n v="40.49"/>
    <n v="6.51"/>
    <n v="0.16078043961471966"/>
    <n v="1.5"/>
    <d v="1899-12-30T16:34:00"/>
    <d v="1899-12-30T17:03:00"/>
    <d v="1899-12-30T00:29:00"/>
    <n v="29.000000000000004"/>
    <s v="8305 Moore Street"/>
    <m/>
    <x v="0"/>
    <x v="0"/>
    <x v="0"/>
    <s v="No"/>
  </r>
  <r>
    <n v="594"/>
    <x v="85"/>
    <s v="Sunday"/>
    <s v="Same"/>
    <n v="40.54"/>
    <n v="7"/>
    <n v="0.17266896891958561"/>
    <n v="5"/>
    <d v="1899-12-30T17:03:00"/>
    <d v="1899-12-30T17:53:00"/>
    <d v="1899-12-30T00:50:00"/>
    <n v="50"/>
    <s v="12955 Cross Point Drive"/>
    <m/>
    <x v="0"/>
    <x v="0"/>
    <x v="0"/>
    <s v="No"/>
  </r>
  <r>
    <n v="595"/>
    <x v="85"/>
    <s v="Sunday"/>
    <s v="Same"/>
    <n v="31.61"/>
    <n v="7"/>
    <n v="0.22144890857323632"/>
    <n v="5"/>
    <d v="1899-12-30T17:14:00"/>
    <d v="1899-12-30T18:07:00"/>
    <d v="1899-12-30T00:53:00"/>
    <n v="53"/>
    <s v="7112 Silverbrook Lane"/>
    <m/>
    <x v="0"/>
    <x v="0"/>
    <x v="0"/>
    <s v="No"/>
  </r>
  <r>
    <n v="596"/>
    <x v="85"/>
    <s v="Sunday"/>
    <s v="Same"/>
    <n v="26.47"/>
    <n v="10"/>
    <n v="0.37778617302606726"/>
    <n v="1.5"/>
    <d v="1899-12-30T18:06:00"/>
    <d v="1899-12-30T18:42:00"/>
    <d v="1899-12-30T00:36:00"/>
    <n v="36"/>
    <s v="5760 Daniel Road"/>
    <n v="7619"/>
    <x v="2"/>
    <x v="0"/>
    <x v="1"/>
    <s v="No"/>
  </r>
  <r>
    <n v="597"/>
    <x v="85"/>
    <s v="Sunday"/>
    <s v="Same"/>
    <n v="22.41"/>
    <n v="10"/>
    <n v="0.44622936189201251"/>
    <n v="1.5"/>
    <d v="1899-12-30T18:21:00"/>
    <d v="1899-12-30T19:11:00"/>
    <d v="1899-12-30T00:50:00"/>
    <n v="50"/>
    <s v="5775 Parkwood Blvd"/>
    <n v="222"/>
    <x v="0"/>
    <x v="0"/>
    <x v="1"/>
    <s v="No"/>
  </r>
  <r>
    <n v="598"/>
    <x v="85"/>
    <s v="Sunday"/>
    <s v="Same"/>
    <n v="23.49"/>
    <n v="6.51"/>
    <n v="0.27713920817369092"/>
    <n v="1.5"/>
    <d v="1899-12-30T18:40:00"/>
    <d v="1899-12-30T19:23:00"/>
    <d v="1899-12-30T00:43:00"/>
    <n v="43"/>
    <s v="5384 Breckenridge Court"/>
    <m/>
    <x v="0"/>
    <x v="2"/>
    <x v="0"/>
    <s v="No"/>
  </r>
  <r>
    <n v="599"/>
    <x v="85"/>
    <s v="Sunday"/>
    <s v="Same"/>
    <n v="36.17"/>
    <n v="5"/>
    <n v="0.13823610727121924"/>
    <n v="7"/>
    <d v="1899-12-30T18:40:00"/>
    <d v="1899-12-30T19:34:00"/>
    <d v="1899-12-30T00:54:00"/>
    <n v="53.999999999999993"/>
    <s v="7904 Staley Drive"/>
    <m/>
    <x v="0"/>
    <x v="0"/>
    <x v="0"/>
    <s v="No"/>
  </r>
  <r>
    <n v="600"/>
    <x v="85"/>
    <s v="Sunday"/>
    <s v="Same"/>
    <n v="27.01"/>
    <n v="3"/>
    <n v="0.11106997408367271"/>
    <n v="1.5"/>
    <d v="1899-12-30T19:32:00"/>
    <d v="1899-12-30T20:11:00"/>
    <d v="1899-12-30T00:39:00"/>
    <n v="39"/>
    <s v="11066 Clearstream Lane"/>
    <m/>
    <x v="0"/>
    <x v="0"/>
    <x v="0"/>
    <s v="No"/>
  </r>
  <r>
    <n v="601"/>
    <x v="85"/>
    <s v="Sunday"/>
    <s v="Same"/>
    <n v="45.41"/>
    <n v="5"/>
    <n v="0.11010790574763268"/>
    <n v="1.5"/>
    <d v="1899-12-30T19:42:00"/>
    <d v="1899-12-30T20:26:00"/>
    <d v="1899-12-30T00:44:00"/>
    <n v="44"/>
    <s v="5473 Widgeon Way"/>
    <m/>
    <x v="0"/>
    <x v="2"/>
    <x v="0"/>
    <s v="No"/>
  </r>
  <r>
    <n v="602"/>
    <x v="86"/>
    <s v="Friday"/>
    <s v="Different"/>
    <n v="35.36"/>
    <n v="3"/>
    <n v="8.4841628959276022E-2"/>
    <n v="1.5"/>
    <d v="1899-12-30T16:46:00"/>
    <d v="1899-12-30T17:18:00"/>
    <d v="1899-12-30T00:32:00"/>
    <n v="32"/>
    <s v="3720 Mount Pleasant Lane"/>
    <m/>
    <x v="2"/>
    <x v="0"/>
    <x v="0"/>
    <s v="No"/>
  </r>
  <r>
    <n v="603"/>
    <x v="86"/>
    <s v="Friday"/>
    <s v="Same"/>
    <n v="42.38"/>
    <n v="6"/>
    <n v="0.14157621519584709"/>
    <n v="1.5"/>
    <d v="1899-12-30T17:30:00"/>
    <d v="1899-12-30T17:30:00"/>
    <d v="1899-12-30T00:00:00"/>
    <n v="0"/>
    <s v="4652 Thanksgiving Lane"/>
    <m/>
    <x v="2"/>
    <x v="0"/>
    <x v="0"/>
    <s v="Yes"/>
  </r>
  <r>
    <n v="604"/>
    <x v="86"/>
    <s v="Friday"/>
    <s v="Same"/>
    <n v="35.340000000000003"/>
    <n v="4"/>
    <n v="0.11318619128466326"/>
    <n v="1.5"/>
    <d v="1899-12-30T17:41:00"/>
    <d v="1899-12-30T18:25:00"/>
    <d v="1899-12-30T00:44:00"/>
    <n v="44"/>
    <s v="4129 New Hope Court"/>
    <m/>
    <x v="2"/>
    <x v="0"/>
    <x v="0"/>
    <s v="No"/>
  </r>
  <r>
    <n v="605"/>
    <x v="86"/>
    <s v="Friday"/>
    <s v="Same"/>
    <n v="127.79"/>
    <n v="25"/>
    <n v="0.1956334611471946"/>
    <n v="1.5"/>
    <d v="1899-12-30T17:52:00"/>
    <d v="1899-12-30T18:38:00"/>
    <d v="1899-12-30T00:46:00"/>
    <n v="46.000000000000007"/>
    <s v="5301 Legacy Drive"/>
    <m/>
    <x v="2"/>
    <x v="0"/>
    <x v="3"/>
    <s v="No"/>
  </r>
  <r>
    <n v="606"/>
    <x v="86"/>
    <s v="Friday"/>
    <s v="Same"/>
    <n v="33.229999999999997"/>
    <n v="5"/>
    <n v="0.15046644598254591"/>
    <n v="1.5"/>
    <d v="1899-12-30T18:27:00"/>
    <d v="1899-12-30T19:05:00"/>
    <d v="1899-12-30T00:38:00"/>
    <n v="38"/>
    <s v="5760 Daniel Road"/>
    <n v="7305"/>
    <x v="2"/>
    <x v="0"/>
    <x v="1"/>
    <s v="No"/>
  </r>
  <r>
    <n v="607"/>
    <x v="86"/>
    <s v="Friday"/>
    <s v="Same"/>
    <n v="40.85"/>
    <n v="8.5"/>
    <n v="0.20807833537331702"/>
    <n v="1.5"/>
    <d v="1899-12-30T19:23:00"/>
    <d v="1899-12-30T19:57:00"/>
    <d v="1899-12-30T00:34:00"/>
    <n v="34"/>
    <s v="5064 Stillwater Trail"/>
    <m/>
    <x v="0"/>
    <x v="2"/>
    <x v="0"/>
    <s v="No"/>
  </r>
  <r>
    <n v="608"/>
    <x v="86"/>
    <s v="Friday"/>
    <s v="Same"/>
    <n v="16.78"/>
    <n v="3"/>
    <n v="0.17878426698450536"/>
    <n v="1.5"/>
    <d v="1899-12-30T19:25:00"/>
    <d v="1899-12-30T20:06:00"/>
    <d v="1899-12-30T00:41:00"/>
    <n v="41"/>
    <s v="3392 Mayflower Drive"/>
    <m/>
    <x v="0"/>
    <x v="4"/>
    <x v="0"/>
    <s v="No"/>
  </r>
  <r>
    <n v="609"/>
    <x v="87"/>
    <s v="Saturday"/>
    <s v="Different"/>
    <n v="19.489999999999998"/>
    <n v="3"/>
    <n v="0.15392508978963573"/>
    <n v="1.5"/>
    <d v="1899-12-30T17:39:00"/>
    <d v="1899-12-30T17:57:00"/>
    <d v="1899-12-30T00:18:00"/>
    <n v="18"/>
    <s v="7997 Wade Blvd"/>
    <n v="1013"/>
    <x v="0"/>
    <x v="0"/>
    <x v="1"/>
    <s v="No"/>
  </r>
  <r>
    <n v="610"/>
    <x v="87"/>
    <s v="Saturday"/>
    <s v="Same"/>
    <n v="57.59"/>
    <n v="5"/>
    <n v="8.6820628581350923E-2"/>
    <n v="1.5"/>
    <d v="1899-12-30T18:34:00"/>
    <d v="1899-12-30T19:06:00"/>
    <d v="1899-12-30T00:32:00"/>
    <n v="32"/>
    <s v="4913 Pinehurst Drive"/>
    <m/>
    <x v="0"/>
    <x v="1"/>
    <x v="0"/>
    <s v="No"/>
  </r>
  <r>
    <n v="611"/>
    <x v="87"/>
    <s v="Saturday"/>
    <s v="Same"/>
    <n v="31.88"/>
    <n v="5"/>
    <n v="0.15683814303638646"/>
    <n v="1.5"/>
    <d v="1899-12-30T18:34:00"/>
    <d v="1899-12-30T19:19:00"/>
    <d v="1899-12-30T00:45:00"/>
    <n v="45"/>
    <s v="4280 Wellesley Drive"/>
    <m/>
    <x v="0"/>
    <x v="0"/>
    <x v="0"/>
    <s v="No"/>
  </r>
  <r>
    <n v="612"/>
    <x v="88"/>
    <s v="Sunday"/>
    <s v="Different"/>
    <n v="47.63"/>
    <n v="9"/>
    <n v="0.18895653999580095"/>
    <n v="1.5"/>
    <d v="1899-12-30T17:19:00"/>
    <d v="1899-12-30T18:04:00"/>
    <d v="1899-12-30T00:45:00"/>
    <n v="45"/>
    <s v="6804 Amaretto Court"/>
    <m/>
    <x v="2"/>
    <x v="0"/>
    <x v="0"/>
    <s v="No"/>
  </r>
  <r>
    <n v="613"/>
    <x v="88"/>
    <s v="Sunday"/>
    <s v="Same"/>
    <n v="14.61"/>
    <n v="6.39"/>
    <n v="0.43737166324435317"/>
    <n v="1.5"/>
    <d v="1899-12-30T17:31:00"/>
    <d v="1899-12-30T18:13:00"/>
    <d v="1899-12-30T00:42:00"/>
    <n v="42"/>
    <s v="3312 Westwind Drive"/>
    <m/>
    <x v="2"/>
    <x v="0"/>
    <x v="0"/>
    <s v="No"/>
  </r>
  <r>
    <n v="614"/>
    <x v="88"/>
    <s v="Sunday"/>
    <s v="Same"/>
    <n v="85.14"/>
    <n v="10"/>
    <n v="0.11745360582569885"/>
    <n v="5"/>
    <d v="1899-12-30T17:35:00"/>
    <d v="1899-12-30T18:27:00"/>
    <d v="1899-12-30T00:52:00"/>
    <n v="52"/>
    <s v="2516 Avalon Drive"/>
    <m/>
    <x v="1"/>
    <x v="0"/>
    <x v="0"/>
    <s v="No"/>
  </r>
  <r>
    <n v="615"/>
    <x v="88"/>
    <s v="Sunday"/>
    <s v="Same"/>
    <n v="43.79"/>
    <n v="5"/>
    <n v="0.11418131993605846"/>
    <n v="1.5"/>
    <d v="1899-12-30T18:14:00"/>
    <d v="1899-12-30T19:09:00"/>
    <d v="1899-12-30T00:55:00"/>
    <n v="54.999999999999993"/>
    <s v="3489 Washington Drive"/>
    <m/>
    <x v="0"/>
    <x v="0"/>
    <x v="0"/>
    <s v="No"/>
  </r>
  <r>
    <n v="616"/>
    <x v="88"/>
    <s v="Sunday"/>
    <s v="Same"/>
    <n v="43.19"/>
    <n v="8"/>
    <n v="0.1852280620514008"/>
    <n v="1.5"/>
    <d v="1899-12-30T18:24:00"/>
    <d v="1899-12-30T19:21:00"/>
    <d v="1899-12-30T00:57:00"/>
    <n v="57"/>
    <s v="6416 High Cliff Drive"/>
    <m/>
    <x v="3"/>
    <x v="0"/>
    <x v="0"/>
    <s v="No"/>
  </r>
  <r>
    <n v="617"/>
    <x v="88"/>
    <s v="Sunday"/>
    <s v="Same"/>
    <n v="32.369999999999997"/>
    <n v="5"/>
    <n v="0.15446400988569664"/>
    <n v="1.5"/>
    <d v="1899-12-30T19:08:00"/>
    <d v="1899-12-30T19:51:00"/>
    <d v="1899-12-30T00:43:00"/>
    <n v="43"/>
    <s v="6085 Water Street"/>
    <n v="2345"/>
    <x v="2"/>
    <x v="0"/>
    <x v="1"/>
    <s v="No"/>
  </r>
  <r>
    <n v="618"/>
    <x v="88"/>
    <s v="Sunday"/>
    <s v="Same"/>
    <n v="33.020000000000003"/>
    <n v="6"/>
    <n v="0.18170805572380375"/>
    <n v="1.5"/>
    <d v="1899-12-30T19:28:00"/>
    <d v="1899-12-30T20:09:00"/>
    <d v="1899-12-30T00:41:00"/>
    <n v="41"/>
    <s v="6853 North Dallas Parkway"/>
    <n v="301"/>
    <x v="2"/>
    <x v="0"/>
    <x v="2"/>
    <s v="No"/>
  </r>
  <r>
    <n v="619"/>
    <x v="88"/>
    <s v="Sunday"/>
    <s v="Same"/>
    <n v="20.78"/>
    <n v="5"/>
    <n v="0.2406159769008662"/>
    <n v="1.5"/>
    <d v="1899-12-30T20:09:00"/>
    <d v="1899-12-30T20:47:00"/>
    <d v="1899-12-30T00:38:00"/>
    <n v="38"/>
    <s v="7255 Texas Ranger Drive"/>
    <n v="1406"/>
    <x v="0"/>
    <x v="0"/>
    <x v="1"/>
    <s v="No"/>
  </r>
  <r>
    <n v="620"/>
    <x v="88"/>
    <s v="Sunday"/>
    <s v="Same"/>
    <n v="41.84"/>
    <n v="8"/>
    <n v="0.19120458891013384"/>
    <n v="1.5"/>
    <d v="1899-12-30T20:24:00"/>
    <d v="1899-12-30T20:57:00"/>
    <d v="1899-12-30T00:33:00"/>
    <n v="33"/>
    <s v="4670 Cecile Road"/>
    <m/>
    <x v="2"/>
    <x v="0"/>
    <x v="0"/>
    <s v="No"/>
  </r>
  <r>
    <n v="621"/>
    <x v="88"/>
    <s v="Sunday"/>
    <s v="Same"/>
    <n v="33.020000000000003"/>
    <n v="4"/>
    <n v="0.12113870381586916"/>
    <n v="5"/>
    <d v="1899-12-30T20:20:00"/>
    <d v="1899-12-30T21:08:00"/>
    <d v="1899-12-30T00:48:00"/>
    <n v="48"/>
    <s v="9328 Rattle Run Drive"/>
    <m/>
    <x v="2"/>
    <x v="0"/>
    <x v="0"/>
    <s v="No"/>
  </r>
  <r>
    <n v="622"/>
    <x v="89"/>
    <s v="Monday"/>
    <s v="Different"/>
    <n v="43.73"/>
    <n v="6"/>
    <n v="0.13720557969357422"/>
    <n v="1.5"/>
    <d v="1899-12-30T17:46:00"/>
    <d v="1899-12-30T18:39:00"/>
    <d v="1899-12-30T00:53:00"/>
    <n v="53"/>
    <s v="4008 Carmichael Drive"/>
    <m/>
    <x v="2"/>
    <x v="0"/>
    <x v="0"/>
    <s v="No"/>
  </r>
  <r>
    <n v="623"/>
    <x v="89"/>
    <s v="Monday"/>
    <s v="Same"/>
    <n v="40.270000000000003"/>
    <n v="7"/>
    <n v="0.17382666997765084"/>
    <n v="5"/>
    <d v="1899-12-30T18:08:00"/>
    <d v="1899-12-30T18:49:00"/>
    <d v="1899-12-30T00:41:00"/>
    <n v="41"/>
    <s v="2600 Geiberger Drive"/>
    <m/>
    <x v="2"/>
    <x v="0"/>
    <x v="0"/>
    <s v="No"/>
  </r>
  <r>
    <n v="624"/>
    <x v="89"/>
    <s v="Monday"/>
    <s v="Same"/>
    <n v="18.350000000000001"/>
    <n v="2"/>
    <n v="0.108991825613079"/>
    <n v="1.5"/>
    <d v="1899-12-30T18:44:00"/>
    <d v="1899-12-30T19:27:00"/>
    <d v="1899-12-30T00:43:00"/>
    <n v="43"/>
    <s v="7645 Junegrass Lane"/>
    <m/>
    <x v="0"/>
    <x v="0"/>
    <x v="0"/>
    <s v="No"/>
  </r>
  <r>
    <n v="625"/>
    <x v="89"/>
    <s v="Monday"/>
    <s v="Same"/>
    <n v="12.18"/>
    <n v="2"/>
    <n v="0.16420361247947454"/>
    <n v="1.5"/>
    <d v="1899-12-30T18:55:00"/>
    <d v="1899-12-30T19:55:00"/>
    <d v="1899-12-30T01:00:00"/>
    <n v="60"/>
    <s v="6853 North Dallas Parkway"/>
    <n v="423"/>
    <x v="2"/>
    <x v="0"/>
    <x v="2"/>
    <s v="No"/>
  </r>
  <r>
    <n v="626"/>
    <x v="89"/>
    <s v="Monday"/>
    <s v="Same"/>
    <n v="35.4"/>
    <n v="7.6"/>
    <n v="0.21468926553672316"/>
    <n v="1.5"/>
    <d v="1899-12-30T18:59:00"/>
    <d v="1899-12-30T20:04:00"/>
    <d v="1899-12-30T01:05:00"/>
    <n v="65"/>
    <s v="6432 Willowdale Drive"/>
    <m/>
    <x v="2"/>
    <x v="0"/>
    <x v="0"/>
    <s v="No"/>
  </r>
  <r>
    <n v="627"/>
    <x v="89"/>
    <s v="Monday"/>
    <s v="Same"/>
    <n v="21.05"/>
    <n v="3"/>
    <n v="0.14251781472684086"/>
    <n v="1.5"/>
    <d v="1899-12-30T20:00:00"/>
    <d v="1899-12-30T20:31:00"/>
    <d v="1899-12-30T00:31:00"/>
    <n v="31.000000000000004"/>
    <s v="5901 Kent Court"/>
    <m/>
    <x v="2"/>
    <x v="0"/>
    <x v="0"/>
    <s v="No"/>
  </r>
  <r>
    <n v="628"/>
    <x v="90"/>
    <s v="Friday"/>
    <s v="Different"/>
    <n v="22.68"/>
    <n v="10"/>
    <n v="0.44091710758377428"/>
    <n v="1.5"/>
    <d v="1899-12-30T16:42:00"/>
    <d v="1899-12-30T17:28:00"/>
    <d v="1899-12-30T00:46:00"/>
    <n v="46.000000000000007"/>
    <s v="10807 Tree Shadow Lane"/>
    <m/>
    <x v="0"/>
    <x v="0"/>
    <x v="0"/>
    <s v="No"/>
  </r>
  <r>
    <n v="629"/>
    <x v="90"/>
    <s v="Friday"/>
    <s v="Same"/>
    <n v="20.78"/>
    <n v="10.5"/>
    <n v="0.50529355149181898"/>
    <n v="5"/>
    <d v="1899-12-30T16:50:00"/>
    <d v="1899-12-30T17:47:00"/>
    <d v="1899-12-30T00:57:00"/>
    <n v="57"/>
    <s v="12236 Genova Court"/>
    <m/>
    <x v="0"/>
    <x v="0"/>
    <x v="0"/>
    <s v="No"/>
  </r>
  <r>
    <n v="630"/>
    <x v="90"/>
    <s v="Friday"/>
    <s v="Same"/>
    <n v="32.24"/>
    <n v="5"/>
    <n v="0.15508684863523572"/>
    <n v="1.5"/>
    <d v="1899-12-30T17:02:00"/>
    <d v="1899-12-30T17:59:00"/>
    <d v="1899-12-30T00:57:00"/>
    <n v="57"/>
    <s v="7617 Glenoaks Drive"/>
    <m/>
    <x v="0"/>
    <x v="0"/>
    <x v="0"/>
    <s v="No"/>
  </r>
  <r>
    <n v="631"/>
    <x v="90"/>
    <s v="Friday"/>
    <s v="Same"/>
    <n v="48.71"/>
    <n v="7"/>
    <n v="0.1437076575651817"/>
    <n v="1.5"/>
    <d v="1899-12-30T18:29:00"/>
    <d v="1899-12-30T19:02:00"/>
    <d v="1899-12-30T00:33:00"/>
    <n v="33"/>
    <s v="7550 Gaylord Parkway"/>
    <n v="407"/>
    <x v="0"/>
    <x v="0"/>
    <x v="2"/>
    <s v="No"/>
  </r>
  <r>
    <n v="632"/>
    <x v="90"/>
    <s v="Friday"/>
    <s v="Same"/>
    <n v="51.09"/>
    <n v="6"/>
    <n v="0.11743981209630064"/>
    <n v="1.5"/>
    <d v="1899-12-30T18:39:00"/>
    <d v="1899-12-30T19:14:00"/>
    <d v="1899-12-30T00:35:00"/>
    <n v="35"/>
    <s v="3150 Avenue of the Stars"/>
    <n v="2451"/>
    <x v="0"/>
    <x v="0"/>
    <x v="1"/>
    <s v="No"/>
  </r>
  <r>
    <n v="633"/>
    <x v="90"/>
    <s v="Friday"/>
    <s v="Same"/>
    <n v="14.88"/>
    <n v="4"/>
    <n v="0.26881720430107525"/>
    <n v="1.5"/>
    <d v="1899-12-30T18:46:00"/>
    <d v="1899-12-30T19:36:00"/>
    <d v="1899-12-30T00:50:00"/>
    <n v="50"/>
    <s v="10719 Blue Bay Drive"/>
    <m/>
    <x v="0"/>
    <x v="0"/>
    <x v="0"/>
    <s v="No"/>
  </r>
  <r>
    <n v="634"/>
    <x v="90"/>
    <s v="Friday"/>
    <s v="Same"/>
    <n v="52.45"/>
    <n v="6"/>
    <n v="0.11439466158245948"/>
    <n v="1.5"/>
    <d v="1899-12-30T19:59:00"/>
    <d v="1899-12-30T20:21:00"/>
    <d v="1899-12-30T00:22:00"/>
    <n v="22"/>
    <s v="5760 Daniel Road"/>
    <n v="7523"/>
    <x v="2"/>
    <x v="0"/>
    <x v="1"/>
    <s v="No"/>
  </r>
  <r>
    <n v="635"/>
    <x v="91"/>
    <s v="Saturday"/>
    <s v="Different"/>
    <n v="41.35"/>
    <n v="15"/>
    <n v="0.36275695284159609"/>
    <n v="1.5"/>
    <d v="1899-12-30T16:55:00"/>
    <d v="1899-12-30T17:26:00"/>
    <d v="1899-12-30T00:31:00"/>
    <n v="31.000000000000004"/>
    <s v="7100 Stoneridge Drive"/>
    <m/>
    <x v="0"/>
    <x v="0"/>
    <x v="0"/>
    <s v="No"/>
  </r>
  <r>
    <n v="636"/>
    <x v="91"/>
    <s v="Saturday"/>
    <s v="Same"/>
    <n v="24.84"/>
    <n v="6"/>
    <n v="0.24154589371980675"/>
    <n v="5"/>
    <d v="1899-12-30T17:54:00"/>
    <d v="1899-12-30T18:36:00"/>
    <d v="1899-12-30T00:42:00"/>
    <n v="42"/>
    <s v="7950 Meadow Hill Drive"/>
    <m/>
    <x v="0"/>
    <x v="0"/>
    <x v="0"/>
    <s v="No"/>
  </r>
  <r>
    <n v="637"/>
    <x v="91"/>
    <s v="Saturday"/>
    <s v="Same"/>
    <n v="66.569999999999993"/>
    <n v="20"/>
    <n v="0.30043563166591558"/>
    <n v="1.5"/>
    <d v="1899-12-30T18:03:00"/>
    <d v="1899-12-30T18:49:00"/>
    <d v="1899-12-30T00:46:00"/>
    <n v="46.000000000000007"/>
    <s v="11707 Alexandria Drive"/>
    <m/>
    <x v="0"/>
    <x v="0"/>
    <x v="0"/>
    <s v="No"/>
  </r>
  <r>
    <n v="638"/>
    <x v="91"/>
    <s v="Saturday"/>
    <s v="Same"/>
    <n v="95.64"/>
    <n v="20"/>
    <n v="0.20911752404851527"/>
    <n v="1.5"/>
    <d v="1899-12-30T18:05:00"/>
    <d v="1899-12-30T18:57:00"/>
    <d v="1899-12-30T00:52:00"/>
    <n v="52"/>
    <s v="12996 Avanti Drive"/>
    <m/>
    <x v="0"/>
    <x v="0"/>
    <x v="0"/>
    <s v="No"/>
  </r>
  <r>
    <n v="639"/>
    <x v="91"/>
    <s v="Saturday"/>
    <s v="Same"/>
    <n v="47.57"/>
    <n v="4"/>
    <n v="8.4086609207483703E-2"/>
    <n v="1.5"/>
    <d v="1899-12-30T18:01:00"/>
    <d v="1899-12-30T19:05:00"/>
    <d v="1899-12-30T01:04:00"/>
    <n v="64"/>
    <s v="7534 Longmont Court"/>
    <m/>
    <x v="0"/>
    <x v="0"/>
    <x v="0"/>
    <s v="No"/>
  </r>
  <r>
    <n v="640"/>
    <x v="91"/>
    <s v="Saturday"/>
    <s v="Same"/>
    <n v="34.53"/>
    <n v="5.47"/>
    <n v="0.15841297422531131"/>
    <n v="1.5"/>
    <d v="1899-12-30T19:01:00"/>
    <d v="1899-12-30T19:43:00"/>
    <d v="1899-12-30T00:42:00"/>
    <n v="42"/>
    <s v="2165 Cardinal Blvd"/>
    <m/>
    <x v="4"/>
    <x v="0"/>
    <x v="0"/>
    <s v="No"/>
  </r>
  <r>
    <n v="641"/>
    <x v="91"/>
    <s v="Saturday"/>
    <s v="Same"/>
    <n v="50.34"/>
    <n v="8"/>
    <n v="0.15891934843067143"/>
    <n v="1.5"/>
    <d v="1899-12-30T19:44:00"/>
    <d v="1899-12-30T20:18:00"/>
    <d v="1899-12-30T00:34:00"/>
    <n v="34"/>
    <s v="11008 Amelina Lane"/>
    <m/>
    <x v="0"/>
    <x v="0"/>
    <x v="0"/>
    <s v="No"/>
  </r>
  <r>
    <n v="642"/>
    <x v="91"/>
    <s v="Saturday"/>
    <s v="Same"/>
    <n v="36.97"/>
    <n v="3"/>
    <n v="8.1146875845279964E-2"/>
    <n v="1.5"/>
    <d v="1899-12-30T19:47:00"/>
    <d v="1899-12-30T20:25:00"/>
    <d v="1899-12-30T00:38:00"/>
    <n v="38"/>
    <s v="10217 Natalie Drive"/>
    <m/>
    <x v="0"/>
    <x v="0"/>
    <x v="0"/>
    <s v="No"/>
  </r>
  <r>
    <n v="643"/>
    <x v="92"/>
    <s v="Sunday"/>
    <s v="Different"/>
    <n v="17.86"/>
    <n v="3"/>
    <n v="0.16797312430011199"/>
    <n v="1.5"/>
    <d v="1899-12-30T15:27:00"/>
    <d v="1899-12-30T16:07:00"/>
    <d v="1899-12-30T00:40:00"/>
    <n v="40"/>
    <s v="3400 Parkwood Blvd"/>
    <n v="321"/>
    <x v="0"/>
    <x v="0"/>
    <x v="2"/>
    <s v="No"/>
  </r>
  <r>
    <n v="644"/>
    <x v="92"/>
    <s v="Sunday"/>
    <s v="Same"/>
    <n v="65.38"/>
    <n v="5"/>
    <n v="7.6475986540226373E-2"/>
    <n v="1.5"/>
    <d v="1899-12-30T15:34:00"/>
    <d v="1899-12-30T16:21:00"/>
    <d v="1899-12-30T00:47:00"/>
    <n v="47.000000000000007"/>
    <s v="5775 Parkwood Blvd"/>
    <n v="1111"/>
    <x v="0"/>
    <x v="0"/>
    <x v="1"/>
    <s v="No"/>
  </r>
  <r>
    <n v="645"/>
    <x v="92"/>
    <s v="Sunday"/>
    <s v="Same"/>
    <n v="34.86"/>
    <n v="5"/>
    <n v="0.1434308663224326"/>
    <n v="5"/>
    <d v="1899-12-30T17:15:00"/>
    <d v="1899-12-30T17:15:00"/>
    <d v="1899-12-30T00:00:00"/>
    <n v="0"/>
    <s v="6170 Sophora Lane"/>
    <m/>
    <x v="0"/>
    <x v="0"/>
    <x v="0"/>
    <s v="Yes"/>
  </r>
  <r>
    <n v="646"/>
    <x v="92"/>
    <s v="Sunday"/>
    <s v="Same"/>
    <n v="37.56"/>
    <n v="8"/>
    <n v="0.21299254526091585"/>
    <n v="1.5"/>
    <d v="1899-12-30T17:30:00"/>
    <d v="1899-12-30T17:30:00"/>
    <d v="1899-12-30T00:00:00"/>
    <n v="0"/>
    <s v="2628 Montreaux Drive"/>
    <m/>
    <x v="0"/>
    <x v="3"/>
    <x v="0"/>
    <s v="Yes"/>
  </r>
  <r>
    <n v="647"/>
    <x v="92"/>
    <s v="Sunday"/>
    <s v="Same"/>
    <n v="40.83"/>
    <n v="3"/>
    <n v="7.3475385745775168E-2"/>
    <n v="1.5"/>
    <d v="1899-12-30T17:22:00"/>
    <d v="1899-12-30T18:03:00"/>
    <d v="1899-12-30T00:41:00"/>
    <n v="41"/>
    <s v="6080 Water Street"/>
    <n v="1493"/>
    <x v="2"/>
    <x v="0"/>
    <x v="1"/>
    <s v="No"/>
  </r>
  <r>
    <n v="648"/>
    <x v="92"/>
    <s v="Sunday"/>
    <s v="Same"/>
    <n v="28.36"/>
    <n v="11.64"/>
    <n v="0.41043723554301836"/>
    <n v="1.5"/>
    <d v="1899-12-30T17:54:00"/>
    <d v="1899-12-30T18:28:00"/>
    <d v="1899-12-30T00:34:00"/>
    <n v="34"/>
    <s v="7550 Gaylord Parkway"/>
    <n v="206"/>
    <x v="0"/>
    <x v="0"/>
    <x v="2"/>
    <s v="No"/>
  </r>
  <r>
    <n v="649"/>
    <x v="92"/>
    <s v="Sunday"/>
    <s v="Same"/>
    <n v="63.71"/>
    <n v="0"/>
    <n v="0"/>
    <n v="1.5"/>
    <d v="1899-12-30T17:51:00"/>
    <d v="1899-12-30T18:41:00"/>
    <d v="1899-12-30T00:50:00"/>
    <n v="50"/>
    <s v="5958 Haley Way"/>
    <m/>
    <x v="0"/>
    <x v="2"/>
    <x v="0"/>
    <s v="No"/>
  </r>
  <r>
    <n v="650"/>
    <x v="92"/>
    <s v="Sunday"/>
    <s v="Same"/>
    <n v="23.49"/>
    <n v="3.51"/>
    <n v="0.14942528735632185"/>
    <n v="1.5"/>
    <d v="1899-12-30T18:03:00"/>
    <d v="1899-12-30T19:00:00"/>
    <d v="1899-12-30T00:57:00"/>
    <n v="57"/>
    <s v="4405 Constitution Drive"/>
    <m/>
    <x v="0"/>
    <x v="4"/>
    <x v="0"/>
    <s v="No"/>
  </r>
  <r>
    <n v="651"/>
    <x v="92"/>
    <s v="Sunday"/>
    <s v="Same"/>
    <n v="34.1"/>
    <n v="5"/>
    <n v="0.14662756598240467"/>
    <n v="1.5"/>
    <d v="1899-12-30T19:04:00"/>
    <d v="1899-12-30T19:43:00"/>
    <d v="1899-12-30T00:39:00"/>
    <n v="39"/>
    <s v="5235 Golfside Drive"/>
    <m/>
    <x v="0"/>
    <x v="0"/>
    <x v="0"/>
    <s v="No"/>
  </r>
  <r>
    <n v="652"/>
    <x v="93"/>
    <s v="Friday"/>
    <s v="Different"/>
    <n v="42.65"/>
    <n v="8.5"/>
    <n v="0.1992966002344666"/>
    <n v="1.5"/>
    <d v="1899-12-30T17:59:00"/>
    <d v="1899-12-30T18:30:00"/>
    <d v="1899-12-30T00:31:00"/>
    <n v="31.000000000000004"/>
    <s v="4002 Winding Way"/>
    <m/>
    <x v="0"/>
    <x v="0"/>
    <x v="0"/>
    <s v="No"/>
  </r>
  <r>
    <n v="653"/>
    <x v="93"/>
    <s v="Friday"/>
    <s v="Same"/>
    <n v="29.99"/>
    <n v="6.01"/>
    <n v="0.20040013337779261"/>
    <n v="1.5"/>
    <d v="1899-12-30T17:54:00"/>
    <d v="1899-12-30T18:40:00"/>
    <d v="1899-12-30T00:46:00"/>
    <n v="46.000000000000007"/>
    <s v="11283 Still Hallow Drive"/>
    <m/>
    <x v="0"/>
    <x v="0"/>
    <x v="0"/>
    <s v="No"/>
  </r>
  <r>
    <n v="654"/>
    <x v="93"/>
    <s v="Friday"/>
    <s v="Same"/>
    <n v="37.56"/>
    <n v="2"/>
    <n v="5.3248136315228962E-2"/>
    <n v="1.5"/>
    <d v="1899-12-30T18:05:00"/>
    <d v="1899-12-30T18:47:00"/>
    <d v="1899-12-30T00:42:00"/>
    <n v="42"/>
    <s v="7009 Inglenook Drive"/>
    <m/>
    <x v="0"/>
    <x v="0"/>
    <x v="0"/>
    <s v="No"/>
  </r>
  <r>
    <n v="655"/>
    <x v="93"/>
    <s v="Friday"/>
    <s v="Same"/>
    <n v="23.76"/>
    <n v="3"/>
    <n v="0.12626262626262624"/>
    <n v="1.5"/>
    <d v="1899-12-30T18:08:00"/>
    <d v="1899-12-30T18:52:00"/>
    <d v="1899-12-30T00:44:00"/>
    <n v="44"/>
    <s v="7005 Cinnabar Drive"/>
    <m/>
    <x v="0"/>
    <x v="0"/>
    <x v="0"/>
    <s v="No"/>
  </r>
  <r>
    <n v="656"/>
    <x v="93"/>
    <s v="Friday"/>
    <s v="Same"/>
    <n v="17.86"/>
    <n v="5"/>
    <n v="0.27995520716685329"/>
    <n v="1.5"/>
    <d v="1899-12-30T19:20:00"/>
    <d v="1899-12-30T19:47:00"/>
    <d v="1899-12-30T00:27:00"/>
    <n v="26.999999999999996"/>
    <s v="8620 Naomi Street"/>
    <m/>
    <x v="2"/>
    <x v="0"/>
    <x v="0"/>
    <s v="No"/>
  </r>
  <r>
    <n v="657"/>
    <x v="93"/>
    <s v="Friday"/>
    <s v="Same"/>
    <n v="14.83"/>
    <n v="3"/>
    <n v="0.20229265003371544"/>
    <n v="1.5"/>
    <d v="1899-12-30T19:21:00"/>
    <d v="1899-12-30T20:01:00"/>
    <d v="1899-12-30T00:40:00"/>
    <n v="40"/>
    <s v="5805 Granite Parkway"/>
    <n v="236"/>
    <x v="2"/>
    <x v="0"/>
    <x v="2"/>
    <s v="No"/>
  </r>
  <r>
    <n v="658"/>
    <x v="93"/>
    <s v="Friday"/>
    <s v="Same"/>
    <n v="118.43"/>
    <n v="20"/>
    <n v="0.16887612935911508"/>
    <n v="1.5"/>
    <d v="1899-12-30T20:13:00"/>
    <d v="1899-12-30T20:42:00"/>
    <d v="1899-12-30T00:29:00"/>
    <n v="29.000000000000004"/>
    <s v="6109 Highview Drive"/>
    <m/>
    <x v="2"/>
    <x v="0"/>
    <x v="0"/>
    <s v="No"/>
  </r>
  <r>
    <n v="659"/>
    <x v="93"/>
    <s v="Friday"/>
    <s v="Same"/>
    <n v="21.05"/>
    <n v="3"/>
    <n v="0.14251781472684086"/>
    <n v="1.5"/>
    <d v="1899-12-30T20:22:00"/>
    <d v="1899-12-30T20:58:00"/>
    <d v="1899-12-30T00:36:00"/>
    <n v="36"/>
    <s v="5805 Granite Parkway"/>
    <n v="630"/>
    <x v="2"/>
    <x v="0"/>
    <x v="2"/>
    <s v="No"/>
  </r>
  <r>
    <n v="660"/>
    <x v="94"/>
    <s v="Saturday"/>
    <s v="Different"/>
    <n v="48.66"/>
    <n v="15"/>
    <n v="0.30826140567200988"/>
    <n v="1.5"/>
    <d v="1899-12-30T17:20:00"/>
    <d v="1899-12-30T18:03:00"/>
    <d v="1899-12-30T00:43:00"/>
    <n v="43"/>
    <s v="7100 Stoneridge Drive"/>
    <m/>
    <x v="0"/>
    <x v="0"/>
    <x v="0"/>
    <s v="No"/>
  </r>
  <r>
    <n v="661"/>
    <x v="94"/>
    <s v="Saturday"/>
    <s v="Same"/>
    <n v="36.43"/>
    <n v="10"/>
    <n v="0.27449903925336261"/>
    <n v="1.5"/>
    <d v="1899-12-30T17:36:00"/>
    <d v="1899-12-30T18:14:00"/>
    <d v="1899-12-30T00:38:00"/>
    <n v="38"/>
    <s v="12996 Avanti Drive"/>
    <m/>
    <x v="0"/>
    <x v="0"/>
    <x v="0"/>
    <s v="No"/>
  </r>
  <r>
    <n v="662"/>
    <x v="94"/>
    <s v="Saturday"/>
    <s v="Same"/>
    <n v="20.239999999999998"/>
    <n v="4"/>
    <n v="0.19762845849802374"/>
    <n v="1.5"/>
    <d v="1899-12-30T18:15:00"/>
    <d v="1899-12-30T18:48:00"/>
    <d v="1899-12-30T00:33:00"/>
    <n v="33"/>
    <s v="3512 Burnet Drive"/>
    <m/>
    <x v="2"/>
    <x v="0"/>
    <x v="0"/>
    <s v="No"/>
  </r>
  <r>
    <n v="663"/>
    <x v="94"/>
    <s v="Saturday"/>
    <s v="Same"/>
    <n v="16.77"/>
    <n v="5"/>
    <n v="0.29815146094215861"/>
    <n v="1.5"/>
    <d v="1899-12-30T19:07:00"/>
    <d v="1899-12-30T19:33:00"/>
    <d v="1899-12-30T00:26:00"/>
    <n v="26"/>
    <s v="7850 Bishop Road"/>
    <n v="1313"/>
    <x v="2"/>
    <x v="0"/>
    <x v="1"/>
    <s v="No"/>
  </r>
  <r>
    <n v="664"/>
    <x v="94"/>
    <s v="Saturday"/>
    <s v="Same"/>
    <n v="23.27"/>
    <n v="5"/>
    <n v="0.21486892995272883"/>
    <n v="1.5"/>
    <d v="1899-12-30T19:13:00"/>
    <d v="1899-12-30T19:43:00"/>
    <d v="1899-12-30T00:30:00"/>
    <n v="30"/>
    <s v="5805 Granite Parkway"/>
    <n v="243"/>
    <x v="2"/>
    <x v="0"/>
    <x v="2"/>
    <s v="No"/>
  </r>
  <r>
    <n v="665"/>
    <x v="95"/>
    <s v="Sunday"/>
    <s v="Different"/>
    <n v="69.77"/>
    <n v="5"/>
    <n v="7.1664038985237211E-2"/>
    <n v="1.5"/>
    <d v="1899-12-30T17:06:00"/>
    <d v="1899-12-30T17:39:00"/>
    <d v="1899-12-30T00:33:00"/>
    <n v="33"/>
    <s v="4802 Orchard Park Drive"/>
    <m/>
    <x v="0"/>
    <x v="2"/>
    <x v="0"/>
    <s v="No"/>
  </r>
  <r>
    <n v="666"/>
    <x v="95"/>
    <s v="Sunday"/>
    <s v="Same"/>
    <n v="22.19"/>
    <n v="0"/>
    <n v="0"/>
    <n v="1.5"/>
    <d v="1899-12-30T17:42:00"/>
    <d v="1899-12-30T18:30:00"/>
    <d v="1899-12-30T00:48:00"/>
    <n v="48"/>
    <s v="4163 Republic Drive"/>
    <m/>
    <x v="0"/>
    <x v="4"/>
    <x v="0"/>
    <s v="No"/>
  </r>
  <r>
    <n v="667"/>
    <x v="95"/>
    <s v="Sunday"/>
    <s v="Same"/>
    <n v="50.88"/>
    <n v="10"/>
    <n v="0.19654088050314464"/>
    <n v="5"/>
    <d v="1899-12-30T17:52:00"/>
    <d v="1899-12-30T18:42:00"/>
    <d v="1899-12-30T00:50:00"/>
    <n v="50"/>
    <s v="3405 Dunbar Court"/>
    <m/>
    <x v="3"/>
    <x v="0"/>
    <x v="0"/>
    <s v="No"/>
  </r>
  <r>
    <n v="668"/>
    <x v="95"/>
    <s v="Sunday"/>
    <s v="Same"/>
    <n v="64.63"/>
    <n v="15"/>
    <n v="0.23209036051369336"/>
    <n v="1.5"/>
    <d v="1899-12-30T19:00:00"/>
    <d v="1899-12-30T19:45:00"/>
    <d v="1899-12-30T00:45:00"/>
    <n v="45"/>
    <s v="5400 Widgeon Way"/>
    <m/>
    <x v="0"/>
    <x v="2"/>
    <x v="0"/>
    <s v="No"/>
  </r>
  <r>
    <n v="669"/>
    <x v="95"/>
    <s v="Sunday"/>
    <s v="Same"/>
    <n v="46.55"/>
    <n v="6"/>
    <n v="0.1288936627282492"/>
    <n v="1.5"/>
    <d v="1899-12-30T19:16:00"/>
    <d v="1899-12-30T19:54:00"/>
    <d v="1899-12-30T00:38:00"/>
    <n v="38"/>
    <s v="5286 Park Ridge Drive"/>
    <m/>
    <x v="0"/>
    <x v="0"/>
    <x v="0"/>
    <s v="No"/>
  </r>
  <r>
    <n v="670"/>
    <x v="96"/>
    <s v="Friday"/>
    <s v="Different"/>
    <n v="72.5"/>
    <n v="20"/>
    <n v="0.27586206896551724"/>
    <n v="1.5"/>
    <d v="1899-12-30T16:49:00"/>
    <d v="1899-12-30T17:35:00"/>
    <d v="1899-12-30T00:46:00"/>
    <n v="46.000000000000007"/>
    <s v="5652 Monterey Drive"/>
    <m/>
    <x v="0"/>
    <x v="2"/>
    <x v="0"/>
    <s v="No"/>
  </r>
  <r>
    <n v="671"/>
    <x v="96"/>
    <s v="Friday"/>
    <s v="Same"/>
    <n v="52.18"/>
    <n v="27.82"/>
    <n v="0.5331544653123802"/>
    <n v="5"/>
    <d v="1899-12-30T16:38:00"/>
    <d v="1899-12-30T17:47:00"/>
    <d v="1899-12-30T01:09:00"/>
    <n v="69"/>
    <s v="8401 Albritton Drive"/>
    <m/>
    <x v="0"/>
    <x v="0"/>
    <x v="0"/>
    <s v="No"/>
  </r>
  <r>
    <n v="672"/>
    <x v="96"/>
    <s v="Friday"/>
    <s v="Same"/>
    <n v="53.38"/>
    <n v="10"/>
    <n v="0.18733608092918697"/>
    <n v="5"/>
    <d v="1899-12-30T16:51:00"/>
    <d v="1899-12-30T17:55:00"/>
    <d v="1899-12-30T01:04:00"/>
    <n v="64"/>
    <s v="10244 Woodbury Drive"/>
    <m/>
    <x v="0"/>
    <x v="0"/>
    <x v="0"/>
    <s v="No"/>
  </r>
  <r>
    <n v="673"/>
    <x v="96"/>
    <s v="Friday"/>
    <s v="Same"/>
    <n v="84.06"/>
    <n v="10"/>
    <n v="0.11896264572924102"/>
    <n v="5"/>
    <d v="1899-12-30T18:45:00"/>
    <d v="1899-12-30T19:27:00"/>
    <d v="1899-12-30T00:42:00"/>
    <n v="42"/>
    <s v="1179 Marquette Drive"/>
    <m/>
    <x v="0"/>
    <x v="0"/>
    <x v="0"/>
    <s v="No"/>
  </r>
  <r>
    <n v="674"/>
    <x v="96"/>
    <s v="Friday"/>
    <s v="Same"/>
    <n v="46.49"/>
    <n v="7.51"/>
    <n v="0.16154011615401159"/>
    <n v="5"/>
    <d v="1899-12-30T18:52:00"/>
    <d v="1899-12-30T19:42:00"/>
    <d v="1899-12-30T00:50:00"/>
    <n v="50"/>
    <s v="7989 Bishop Drive"/>
    <m/>
    <x v="0"/>
    <x v="0"/>
    <x v="0"/>
    <s v="No"/>
  </r>
  <r>
    <n v="675"/>
    <x v="96"/>
    <s v="Friday"/>
    <s v="Same"/>
    <n v="46.55"/>
    <n v="10"/>
    <n v="0.21482277121374868"/>
    <n v="1.5"/>
    <d v="1899-12-30T18:55:00"/>
    <d v="1899-12-30T19:57:00"/>
    <d v="1899-12-30T01:02:00"/>
    <n v="62.000000000000007"/>
    <s v="4401 Druid Hills Drive"/>
    <m/>
    <x v="0"/>
    <x v="0"/>
    <x v="0"/>
    <s v="No"/>
  </r>
  <r>
    <n v="676"/>
    <x v="96"/>
    <s v="Friday"/>
    <s v="Same"/>
    <n v="38.43"/>
    <n v="10"/>
    <n v="0.26021337496747332"/>
    <n v="1.5"/>
    <d v="1899-12-30T18:54:00"/>
    <d v="1899-12-30T20:08:00"/>
    <d v="1899-12-30T01:14:00"/>
    <n v="74"/>
    <s v="2 La Costa Court"/>
    <m/>
    <x v="0"/>
    <x v="3"/>
    <x v="0"/>
    <s v="No"/>
  </r>
  <r>
    <n v="677"/>
    <x v="97"/>
    <s v="Sunday"/>
    <s v="Different"/>
    <n v="36.75"/>
    <n v="4"/>
    <n v="0.10884353741496598"/>
    <n v="1.5"/>
    <d v="1899-12-30T16:43:00"/>
    <d v="1899-12-30T17:23:00"/>
    <d v="1899-12-30T00:40:00"/>
    <n v="40"/>
    <s v="4668 Sundance Drive"/>
    <m/>
    <x v="2"/>
    <x v="0"/>
    <x v="0"/>
    <s v="No"/>
  </r>
  <r>
    <n v="678"/>
    <x v="97"/>
    <s v="Sunday"/>
    <s v="Same"/>
    <n v="20.239999999999998"/>
    <n v="5"/>
    <n v="0.24703557312252966"/>
    <n v="1.5"/>
    <d v="1899-12-30T16:47:00"/>
    <d v="1899-12-30T17:35:00"/>
    <d v="1899-12-30T00:48:00"/>
    <n v="48"/>
    <s v="3512 Burnet Drive"/>
    <m/>
    <x v="2"/>
    <x v="0"/>
    <x v="0"/>
    <s v="No"/>
  </r>
  <r>
    <n v="679"/>
    <x v="97"/>
    <s v="Sunday"/>
    <s v="Same"/>
    <n v="41.95"/>
    <n v="8.0500000000000007"/>
    <n v="0.19189511323003577"/>
    <n v="1.5"/>
    <d v="1899-12-30T17:01:00"/>
    <d v="1899-12-30T17:43:00"/>
    <d v="1899-12-30T00:42:00"/>
    <n v="42"/>
    <s v="9600 Coit Road"/>
    <n v="2321"/>
    <x v="2"/>
    <x v="0"/>
    <x v="1"/>
    <s v="No"/>
  </r>
  <r>
    <n v="680"/>
    <x v="97"/>
    <s v="Sunday"/>
    <s v="Same"/>
    <n v="60.3"/>
    <n v="8"/>
    <n v="0.13266998341625208"/>
    <n v="5"/>
    <d v="1899-12-30T18:16:00"/>
    <d v="1899-12-30T18:59:00"/>
    <d v="1899-12-30T00:43:00"/>
    <n v="43"/>
    <s v="8401 Albritton Drive"/>
    <m/>
    <x v="0"/>
    <x v="0"/>
    <x v="0"/>
    <s v="No"/>
  </r>
  <r>
    <n v="681"/>
    <x v="97"/>
    <s v="Sunday"/>
    <s v="Same"/>
    <n v="31.07"/>
    <n v="5"/>
    <n v="0.16092693916961701"/>
    <n v="1.5"/>
    <d v="1899-12-30T18:21:00"/>
    <d v="1899-12-30T19:13:00"/>
    <d v="1899-12-30T00:52:00"/>
    <n v="52"/>
    <s v="6878 Cortona Lane"/>
    <m/>
    <x v="0"/>
    <x v="0"/>
    <x v="0"/>
    <s v="No"/>
  </r>
  <r>
    <n v="682"/>
    <x v="97"/>
    <s v="Sunday"/>
    <s v="Same"/>
    <n v="33.5"/>
    <n v="11.5"/>
    <n v="0.34328358208955223"/>
    <n v="1.5"/>
    <d v="1899-12-30T19:01:00"/>
    <d v="1899-12-30T19:41:00"/>
    <d v="1899-12-30T00:40:00"/>
    <n v="40"/>
    <s v="6812 Wild Ridge Court"/>
    <m/>
    <x v="2"/>
    <x v="0"/>
    <x v="0"/>
    <s v="No"/>
  </r>
  <r>
    <n v="683"/>
    <x v="97"/>
    <s v="Sunday"/>
    <s v="Same"/>
    <n v="49.8"/>
    <n v="5"/>
    <n v="0.10040160642570281"/>
    <n v="1.5"/>
    <d v="1899-12-30T19:45:00"/>
    <d v="1899-12-30T20:13:00"/>
    <d v="1899-12-30T00:28:00"/>
    <n v="28"/>
    <s v="11008 Amelina Lane"/>
    <m/>
    <x v="0"/>
    <x v="0"/>
    <x v="0"/>
    <s v="No"/>
  </r>
  <r>
    <n v="684"/>
    <x v="97"/>
    <s v="Sunday"/>
    <s v="Same"/>
    <n v="18.399999999999999"/>
    <n v="5"/>
    <n v="0.27173913043478265"/>
    <n v="1.5"/>
    <d v="1899-12-30T20:14:00"/>
    <d v="1899-12-30T20:57:00"/>
    <d v="1899-12-30T00:43:00"/>
    <n v="43"/>
    <s v="7245 Parkwood Blvd"/>
    <m/>
    <x v="2"/>
    <x v="0"/>
    <x v="0"/>
    <s v="No"/>
  </r>
  <r>
    <n v="685"/>
    <x v="98"/>
    <s v="Friday"/>
    <s v="Different"/>
    <n v="39.19"/>
    <n v="6"/>
    <n v="0.15310028068384793"/>
    <n v="5"/>
    <d v="1899-12-30T17:30:00"/>
    <d v="1899-12-30T17:30:00"/>
    <d v="1899-12-30T00:00:00"/>
    <n v="0"/>
    <s v="1089 London Drive"/>
    <m/>
    <x v="0"/>
    <x v="0"/>
    <x v="0"/>
    <s v="Yes"/>
  </r>
  <r>
    <n v="686"/>
    <x v="98"/>
    <s v="Friday"/>
    <s v="Same"/>
    <n v="35.4"/>
    <n v="6"/>
    <n v="0.16949152542372883"/>
    <n v="5"/>
    <d v="1899-12-30T17:01:00"/>
    <d v="1899-12-30T17:50:00"/>
    <d v="1899-12-30T00:49:00"/>
    <n v="49"/>
    <s v="5484 Statesman Lane"/>
    <m/>
    <x v="0"/>
    <x v="0"/>
    <x v="0"/>
    <s v="No"/>
  </r>
  <r>
    <n v="687"/>
    <x v="98"/>
    <s v="Friday"/>
    <s v="Same"/>
    <n v="61.27"/>
    <n v="12"/>
    <n v="0.19585441488493552"/>
    <n v="5"/>
    <d v="1899-12-30T17:07:00"/>
    <d v="1899-12-30T18:05:00"/>
    <d v="1899-12-30T00:58:00"/>
    <n v="58.000000000000007"/>
    <s v="11448 Altamont Drive"/>
    <m/>
    <x v="0"/>
    <x v="0"/>
    <x v="0"/>
    <s v="No"/>
  </r>
  <r>
    <n v="688"/>
    <x v="98"/>
    <s v="Friday"/>
    <s v="Same"/>
    <n v="28.63"/>
    <n v="8"/>
    <n v="0.27942717429269998"/>
    <n v="1.5"/>
    <d v="1899-12-30T18:52:00"/>
    <d v="1899-12-30T19:29:00"/>
    <d v="1899-12-30T00:37:00"/>
    <n v="37"/>
    <s v="12996 Avanti Drive"/>
    <m/>
    <x v="0"/>
    <x v="0"/>
    <x v="0"/>
    <s v="No"/>
  </r>
  <r>
    <n v="689"/>
    <x v="98"/>
    <s v="Friday"/>
    <s v="Same"/>
    <n v="23.76"/>
    <n v="4"/>
    <n v="0.16835016835016833"/>
    <n v="1.5"/>
    <d v="1899-12-30T19:03:00"/>
    <d v="1899-12-30T19:38:00"/>
    <d v="1899-12-30T00:35:00"/>
    <n v="35"/>
    <s v="7005 Cinnabar Drive"/>
    <m/>
    <x v="0"/>
    <x v="0"/>
    <x v="0"/>
    <s v="No"/>
  </r>
  <r>
    <n v="690"/>
    <x v="98"/>
    <s v="Friday"/>
    <s v="Same"/>
    <n v="57.21"/>
    <n v="10"/>
    <n v="0.17479461632581716"/>
    <n v="1.5"/>
    <d v="1899-12-30T18:55:00"/>
    <d v="1899-12-30T19:43:00"/>
    <d v="1899-12-30T00:48:00"/>
    <n v="48"/>
    <s v="7606 Cordova Drive"/>
    <m/>
    <x v="0"/>
    <x v="0"/>
    <x v="0"/>
    <s v="No"/>
  </r>
  <r>
    <n v="691"/>
    <x v="98"/>
    <s v="Friday"/>
    <s v="Same"/>
    <n v="33.18"/>
    <n v="5"/>
    <n v="0.15069318866787221"/>
    <n v="5"/>
    <d v="1899-12-30T18:53:00"/>
    <d v="1899-12-30T19:57:00"/>
    <d v="1899-12-30T01:04:00"/>
    <n v="64"/>
    <s v="7074 Bramblebush Drive"/>
    <m/>
    <x v="0"/>
    <x v="0"/>
    <x v="0"/>
    <s v="No"/>
  </r>
  <r>
    <n v="692"/>
    <x v="98"/>
    <s v="Friday"/>
    <s v="Same"/>
    <n v="13.53"/>
    <n v="5"/>
    <n v="0.36954915003695493"/>
    <n v="1.5"/>
    <d v="1899-12-30T19:59:00"/>
    <d v="1899-12-30T20:34:00"/>
    <d v="1899-12-30T00:35:00"/>
    <n v="35"/>
    <s v="7255 Texas Ranger Drive"/>
    <n v="1313"/>
    <x v="0"/>
    <x v="0"/>
    <x v="1"/>
    <s v="No"/>
  </r>
  <r>
    <n v="693"/>
    <x v="98"/>
    <s v="Friday"/>
    <s v="Same"/>
    <n v="54.61"/>
    <n v="10"/>
    <n v="0.18311664530305805"/>
    <n v="1.5"/>
    <d v="1899-12-30T20:01:00"/>
    <d v="1899-12-30T20:51:00"/>
    <d v="1899-12-30T00:50:00"/>
    <n v="50"/>
    <s v="10900 Jeffreys Bay"/>
    <m/>
    <x v="0"/>
    <x v="0"/>
    <x v="0"/>
    <s v="No"/>
  </r>
  <r>
    <n v="694"/>
    <x v="99"/>
    <s v="Saturday"/>
    <s v="Different"/>
    <n v="51.31"/>
    <n v="10"/>
    <n v="0.19489378288832584"/>
    <n v="5"/>
    <d v="1899-12-30T17:07:00"/>
    <d v="1899-12-30T17:40:00"/>
    <d v="1899-12-30T00:33:00"/>
    <n v="33"/>
    <s v="1105 Damsel Caitlyn Drive"/>
    <m/>
    <x v="1"/>
    <x v="0"/>
    <x v="0"/>
    <s v="No"/>
  </r>
  <r>
    <n v="695"/>
    <x v="99"/>
    <s v="Saturday"/>
    <s v="Same"/>
    <n v="24.03"/>
    <n v="4"/>
    <n v="0.16645859342488556"/>
    <n v="1.5"/>
    <d v="1899-12-30T18:00:00"/>
    <d v="1899-12-30T18:32:00"/>
    <d v="1899-12-30T00:32:00"/>
    <n v="32"/>
    <s v="3153 Hampshire Court"/>
    <m/>
    <x v="0"/>
    <x v="1"/>
    <x v="0"/>
    <s v="No"/>
  </r>
  <r>
    <n v="696"/>
    <x v="99"/>
    <s v="Saturday"/>
    <s v="Same"/>
    <n v="42.92"/>
    <n v="8"/>
    <n v="0.1863932898415657"/>
    <n v="1.5"/>
    <d v="1899-12-30T17:46:00"/>
    <d v="1899-12-30T18:42:00"/>
    <d v="1899-12-30T00:56:00"/>
    <n v="56"/>
    <s v="4552 Florence Drive"/>
    <m/>
    <x v="0"/>
    <x v="0"/>
    <x v="0"/>
    <s v="No"/>
  </r>
  <r>
    <n v="697"/>
    <x v="99"/>
    <s v="Saturday"/>
    <s v="Same"/>
    <n v="47.03"/>
    <n v="5"/>
    <n v="0.10631511800978098"/>
    <n v="1.5"/>
    <d v="1899-12-30T17:58:00"/>
    <d v="1899-12-30T18:55:00"/>
    <d v="1899-12-30T00:57:00"/>
    <n v="57"/>
    <s v="7290 Greystone Lane"/>
    <m/>
    <x v="0"/>
    <x v="0"/>
    <x v="0"/>
    <s v="No"/>
  </r>
  <r>
    <n v="698"/>
    <x v="99"/>
    <s v="Saturday"/>
    <s v="Same"/>
    <n v="63.27"/>
    <n v="10"/>
    <n v="0.158052789631737"/>
    <n v="5"/>
    <d v="1899-12-30T18:00:00"/>
    <d v="1899-12-30T19:07:00"/>
    <d v="1899-12-30T01:07:00"/>
    <n v="67"/>
    <s v="1800 Hollow Falls Court"/>
    <m/>
    <x v="0"/>
    <x v="0"/>
    <x v="0"/>
    <s v="No"/>
  </r>
  <r>
    <n v="699"/>
    <x v="100"/>
    <s v="Saturday"/>
    <s v="Different"/>
    <n v="19.21"/>
    <n v="4"/>
    <n v="0.20822488287350338"/>
    <n v="1.5"/>
    <d v="1899-12-30T17:43:00"/>
    <d v="1899-12-30T17:59:00"/>
    <d v="1899-12-30T00:16:00"/>
    <n v="16"/>
    <s v="7660 TX-121"/>
    <m/>
    <x v="0"/>
    <x v="0"/>
    <x v="3"/>
    <s v="No"/>
  </r>
  <r>
    <n v="700"/>
    <x v="100"/>
    <s v="Saturday"/>
    <s v="Same"/>
    <n v="39.729999999999997"/>
    <n v="3"/>
    <n v="7.5509690410269323E-2"/>
    <n v="1.5"/>
    <d v="1899-12-30T18:17:00"/>
    <d v="1899-12-30T18:47:00"/>
    <d v="1899-12-30T00:30:00"/>
    <n v="30"/>
    <s v="9400 Katrina Path"/>
    <m/>
    <x v="2"/>
    <x v="0"/>
    <x v="0"/>
    <s v="No"/>
  </r>
  <r>
    <n v="701"/>
    <x v="100"/>
    <s v="Saturday"/>
    <s v="Same"/>
    <n v="243.02"/>
    <n v="15"/>
    <n v="6.1723314953501765E-2"/>
    <n v="1.5"/>
    <d v="1899-12-30T19:00:00"/>
    <d v="1899-12-30T19:00:00"/>
    <d v="1899-12-30T00:00:00"/>
    <n v="0"/>
    <s v="5805 Granite Parkway"/>
    <m/>
    <x v="2"/>
    <x v="0"/>
    <x v="2"/>
    <s v="Yes"/>
  </r>
  <r>
    <n v="702"/>
    <x v="100"/>
    <s v="Saturday"/>
    <s v="Same"/>
    <n v="56.58"/>
    <n v="5"/>
    <n v="8.8370448921880521E-2"/>
    <n v="1.5"/>
    <d v="1899-12-30T18:41:00"/>
    <d v="1899-12-30T19:25:00"/>
    <d v="1899-12-30T00:44:00"/>
    <n v="44"/>
    <s v="6320 High Cliff Drive"/>
    <m/>
    <x v="3"/>
    <x v="0"/>
    <x v="0"/>
    <s v="No"/>
  </r>
  <r>
    <n v="703"/>
    <x v="100"/>
    <s v="Saturday"/>
    <s v="Same"/>
    <n v="29.82"/>
    <n v="6"/>
    <n v="0.20120724346076457"/>
    <n v="5"/>
    <d v="1899-12-30T18:58:00"/>
    <d v="1899-12-30T19:40:00"/>
    <d v="1899-12-30T00:42:00"/>
    <n v="42"/>
    <s v="2128 Zander Drive"/>
    <m/>
    <x v="0"/>
    <x v="0"/>
    <x v="0"/>
    <s v="No"/>
  </r>
  <r>
    <n v="704"/>
    <x v="100"/>
    <s v="Saturday"/>
    <s v="Same"/>
    <n v="38.1"/>
    <n v="10"/>
    <n v="0.26246719160104987"/>
    <n v="5"/>
    <d v="1899-12-30T20:00:00"/>
    <d v="1899-12-30T20:36:00"/>
    <d v="1899-12-30T00:36:00"/>
    <n v="36"/>
    <s v="657 Quail Creek Drive"/>
    <m/>
    <x v="0"/>
    <x v="0"/>
    <x v="0"/>
    <s v="No"/>
  </r>
  <r>
    <n v="705"/>
    <x v="101"/>
    <s v="Friday"/>
    <s v="Different"/>
    <n v="47.63"/>
    <n v="12"/>
    <n v="0.25194205332773462"/>
    <n v="1.5"/>
    <d v="1899-12-30T17:15:00"/>
    <d v="1899-12-30T17:45:00"/>
    <d v="1899-12-30T00:30:00"/>
    <n v="30"/>
    <s v="7020 Mills Branch Circle"/>
    <m/>
    <x v="2"/>
    <x v="0"/>
    <x v="0"/>
    <s v="No"/>
  </r>
  <r>
    <n v="706"/>
    <x v="101"/>
    <s v="Friday"/>
    <s v="Same"/>
    <n v="25.44"/>
    <n v="4"/>
    <n v="0.15723270440251572"/>
    <n v="1.5"/>
    <d v="1899-12-30T18:30:00"/>
    <d v="1899-12-30T18:30:00"/>
    <d v="1899-12-30T00:00:00"/>
    <n v="0"/>
    <s v="6439 Chester Drive"/>
    <m/>
    <x v="0"/>
    <x v="0"/>
    <x v="0"/>
    <s v="Yes"/>
  </r>
  <r>
    <n v="707"/>
    <x v="101"/>
    <s v="Friday"/>
    <s v="Same"/>
    <n v="23.76"/>
    <n v="3"/>
    <n v="0.12626262626262624"/>
    <n v="1.5"/>
    <d v="1899-12-30T18:02:00"/>
    <d v="1899-12-30T18:39:00"/>
    <d v="1899-12-30T00:37:00"/>
    <n v="37"/>
    <s v="5513 Charleston Drive"/>
    <m/>
    <x v="0"/>
    <x v="0"/>
    <x v="0"/>
    <s v="No"/>
  </r>
  <r>
    <n v="708"/>
    <x v="101"/>
    <s v="Friday"/>
    <s v="Same"/>
    <n v="16.13"/>
    <n v="3"/>
    <n v="0.18598884066955984"/>
    <n v="1.5"/>
    <d v="1899-12-30T18:04:00"/>
    <d v="1899-12-30T18:46:00"/>
    <d v="1899-12-30T00:42:00"/>
    <n v="42"/>
    <s v="7009 Inglenook Drive"/>
    <m/>
    <x v="0"/>
    <x v="0"/>
    <x v="0"/>
    <s v="No"/>
  </r>
  <r>
    <n v="709"/>
    <x v="101"/>
    <s v="Friday"/>
    <s v="Same"/>
    <n v="31.39"/>
    <n v="4"/>
    <n v="0.12742911755336095"/>
    <n v="5"/>
    <d v="1899-12-30T18:01:00"/>
    <d v="1899-12-30T18:58:00"/>
    <d v="1899-12-30T00:57:00"/>
    <n v="57"/>
    <s v="8216 Fisher Drive"/>
    <m/>
    <x v="0"/>
    <x v="0"/>
    <x v="0"/>
    <s v="No"/>
  </r>
  <r>
    <n v="710"/>
    <x v="101"/>
    <s v="Friday"/>
    <s v="Same"/>
    <n v="35.4"/>
    <n v="4"/>
    <n v="0.11299435028248588"/>
    <n v="1.5"/>
    <d v="1899-12-30T18:56:00"/>
    <d v="1899-12-30T19:36:00"/>
    <d v="1899-12-30T00:40:00"/>
    <n v="40"/>
    <s v="3321 Burnet Drive"/>
    <m/>
    <x v="2"/>
    <x v="0"/>
    <x v="0"/>
    <s v="No"/>
  </r>
  <r>
    <n v="711"/>
    <x v="101"/>
    <s v="Friday"/>
    <s v="Same"/>
    <n v="31.12"/>
    <n v="5"/>
    <n v="0.16066838046272494"/>
    <n v="1.5"/>
    <d v="1899-12-30T19:13:00"/>
    <d v="1899-12-30T19:43:00"/>
    <d v="1899-12-30T00:30:00"/>
    <n v="30"/>
    <s v="4017 Wind Dance Circle"/>
    <m/>
    <x v="2"/>
    <x v="0"/>
    <x v="0"/>
    <s v="No"/>
  </r>
  <r>
    <n v="712"/>
    <x v="102"/>
    <s v="Saturday"/>
    <s v="Different"/>
    <n v="41.16"/>
    <n v="3.84"/>
    <n v="9.3294460641399415E-2"/>
    <n v="1.5"/>
    <d v="1899-12-30T17:20:00"/>
    <d v="1899-12-30T17:48:00"/>
    <d v="1899-12-30T00:28:00"/>
    <n v="28"/>
    <s v="5602 Democracy Drive"/>
    <m/>
    <x v="2"/>
    <x v="0"/>
    <x v="3"/>
    <s v="No"/>
  </r>
  <r>
    <n v="713"/>
    <x v="102"/>
    <s v="Saturday"/>
    <s v="Same"/>
    <n v="17"/>
    <n v="2"/>
    <n v="0.11764705882352941"/>
    <n v="1.5"/>
    <d v="1899-12-30T17:14:00"/>
    <d v="1899-12-30T18:02:00"/>
    <d v="1899-12-30T00:48:00"/>
    <n v="48"/>
    <s v="5716 Henry Cook Blvd"/>
    <n v="11323"/>
    <x v="2"/>
    <x v="0"/>
    <x v="1"/>
    <s v="No"/>
  </r>
  <r>
    <n v="714"/>
    <x v="102"/>
    <s v="Saturday"/>
    <s v="Same"/>
    <n v="20.239999999999998"/>
    <n v="3"/>
    <n v="0.14822134387351779"/>
    <n v="1.5"/>
    <d v="1899-12-30T17:27:00"/>
    <d v="1899-12-30T18:20:00"/>
    <d v="1899-12-30T00:53:00"/>
    <n v="53"/>
    <s v="3512 Burnet Drive"/>
    <m/>
    <x v="2"/>
    <x v="0"/>
    <x v="0"/>
    <s v="No"/>
  </r>
  <r>
    <n v="715"/>
    <x v="102"/>
    <s v="Saturday"/>
    <s v="Same"/>
    <n v="82.97"/>
    <n v="10"/>
    <n v="0.12052549114137641"/>
    <n v="1.5"/>
    <d v="1899-12-30T18:43:00"/>
    <d v="1899-12-30T19:08:00"/>
    <d v="1899-12-30T00:25:00"/>
    <n v="25"/>
    <s v="6701 Vista Trail"/>
    <m/>
    <x v="2"/>
    <x v="0"/>
    <x v="0"/>
    <s v="No"/>
  </r>
  <r>
    <n v="716"/>
    <x v="102"/>
    <s v="Saturday"/>
    <s v="Same"/>
    <n v="34.04"/>
    <n v="6"/>
    <n v="0.17626321974148063"/>
    <n v="7"/>
    <d v="1899-12-30T18:57:00"/>
    <d v="1899-12-30T19:42:00"/>
    <d v="1899-12-30T00:45:00"/>
    <n v="45"/>
    <s v="12150 Toscana Way"/>
    <m/>
    <x v="0"/>
    <x v="0"/>
    <x v="0"/>
    <s v="No"/>
  </r>
  <r>
    <n v="717"/>
    <x v="102"/>
    <s v="Saturday"/>
    <s v="Same"/>
    <n v="21.6"/>
    <n v="5"/>
    <n v="0.23148148148148145"/>
    <n v="1.5"/>
    <d v="1899-12-30T19:07:00"/>
    <d v="1899-12-30T20:04:00"/>
    <d v="1899-12-30T00:57:00"/>
    <n v="57"/>
    <s v="7171 Ikea Drive"/>
    <m/>
    <x v="0"/>
    <x v="0"/>
    <x v="3"/>
    <s v="No"/>
  </r>
  <r>
    <n v="718"/>
    <x v="102"/>
    <s v="Saturday"/>
    <s v="Same"/>
    <n v="34.32"/>
    <n v="5.68"/>
    <n v="0.1655011655011655"/>
    <n v="1.5"/>
    <d v="1899-12-30T20:18:00"/>
    <d v="1899-12-30T20:47:00"/>
    <d v="1899-12-30T00:29:00"/>
    <n v="29.000000000000004"/>
    <s v="6317 Cedar Falls Drive"/>
    <m/>
    <x v="3"/>
    <x v="0"/>
    <x v="0"/>
    <s v="No"/>
  </r>
  <r>
    <n v="719"/>
    <x v="103"/>
    <s v="Sunday"/>
    <s v="Different"/>
    <n v="26.74"/>
    <n v="5"/>
    <n v="0.18698578908002994"/>
    <n v="1.5"/>
    <d v="1899-12-30T17:06:00"/>
    <d v="1899-12-30T17:29:00"/>
    <d v="1899-12-30T00:23:00"/>
    <n v="23.000000000000004"/>
    <s v="6308 Yorkdale Drive"/>
    <m/>
    <x v="2"/>
    <x v="0"/>
    <x v="0"/>
    <s v="No"/>
  </r>
  <r>
    <n v="720"/>
    <x v="103"/>
    <s v="Sunday"/>
    <s v="Same"/>
    <n v="68.41"/>
    <n v="12"/>
    <n v="0.17541295132290602"/>
    <n v="1.5"/>
    <d v="1899-12-30T17:47:00"/>
    <d v="1899-12-30T18:18:00"/>
    <d v="1899-12-30T00:31:00"/>
    <n v="31.000000000000004"/>
    <s v="5013 Pinehurst Drive"/>
    <m/>
    <x v="0"/>
    <x v="1"/>
    <x v="0"/>
    <s v="No"/>
  </r>
  <r>
    <n v="721"/>
    <x v="103"/>
    <s v="Sunday"/>
    <s v="Same"/>
    <n v="47.58"/>
    <n v="12"/>
    <n v="0.25220680958385877"/>
    <n v="5"/>
    <d v="1899-12-30T18:25:00"/>
    <d v="1899-12-30T19:20:00"/>
    <d v="1899-12-30T00:55:00"/>
    <n v="54.999999999999993"/>
    <s v="1800 Hollow Falls Court"/>
    <m/>
    <x v="0"/>
    <x v="0"/>
    <x v="0"/>
    <s v="No"/>
  </r>
  <r>
    <n v="722"/>
    <x v="103"/>
    <s v="Sunday"/>
    <s v="Same"/>
    <n v="24.57"/>
    <n v="5"/>
    <n v="0.20350020350020351"/>
    <n v="5"/>
    <d v="1899-12-30T18:44:00"/>
    <d v="1899-12-30T19:28:00"/>
    <d v="1899-12-30T00:44:00"/>
    <n v="44"/>
    <s v="1738 Lantana Lane"/>
    <m/>
    <x v="0"/>
    <x v="0"/>
    <x v="0"/>
    <s v="No"/>
  </r>
  <r>
    <n v="723"/>
    <x v="103"/>
    <s v="Sunday"/>
    <s v="Same"/>
    <n v="32.369999999999997"/>
    <n v="6"/>
    <n v="0.18535681186283598"/>
    <n v="5"/>
    <d v="1899-12-30T18:43:00"/>
    <d v="1899-12-30T19:40:00"/>
    <d v="1899-12-30T00:57:00"/>
    <n v="57"/>
    <s v="5052 Havasu Drive"/>
    <m/>
    <x v="0"/>
    <x v="0"/>
    <x v="0"/>
    <s v="No"/>
  </r>
  <r>
    <n v="724"/>
    <x v="103"/>
    <s v="Sunday"/>
    <s v="Same"/>
    <n v="49.16"/>
    <n v="7.84"/>
    <n v="0.15947925142392189"/>
    <n v="1.5"/>
    <d v="1899-12-30T19:55:00"/>
    <d v="1899-12-30T20:30:00"/>
    <d v="1899-12-30T00:35:00"/>
    <n v="35"/>
    <s v="7255 Texas Ranger Drive"/>
    <m/>
    <x v="0"/>
    <x v="0"/>
    <x v="1"/>
    <s v="No"/>
  </r>
  <r>
    <n v="725"/>
    <x v="103"/>
    <s v="Sunday"/>
    <s v="Same"/>
    <n v="28.9"/>
    <n v="3"/>
    <n v="0.10380622837370243"/>
    <n v="1.5"/>
    <d v="1899-12-30T20:04:00"/>
    <d v="1899-12-30T20:44:00"/>
    <d v="1899-12-30T00:40:00"/>
    <n v="40"/>
    <s v="5812 Marrietta Drive"/>
    <m/>
    <x v="0"/>
    <x v="0"/>
    <x v="0"/>
    <s v="No"/>
  </r>
  <r>
    <n v="726"/>
    <x v="103"/>
    <s v="Sunday"/>
    <s v="Same"/>
    <n v="39.19"/>
    <n v="10.71"/>
    <n v="0.27328400102066858"/>
    <n v="1.5"/>
    <d v="1899-12-30T20:07:00"/>
    <d v="1899-12-30T20:53:00"/>
    <d v="1899-12-30T00:46:00"/>
    <n v="46.000000000000007"/>
    <s v="10709 Promise Land Drive"/>
    <m/>
    <x v="0"/>
    <x v="0"/>
    <x v="0"/>
    <s v="No"/>
  </r>
  <r>
    <n v="727"/>
    <x v="103"/>
    <s v="Sunday"/>
    <s v="Same"/>
    <n v="69.77"/>
    <n v="8"/>
    <n v="0.11466246237637955"/>
    <n v="5"/>
    <d v="1899-12-30T20:08:00"/>
    <d v="1899-12-30T21:07:00"/>
    <d v="1899-12-30T00:59:00"/>
    <n v="59"/>
    <s v="8076 Peackock Lane"/>
    <m/>
    <x v="0"/>
    <x v="0"/>
    <x v="0"/>
    <s v="No"/>
  </r>
  <r>
    <n v="728"/>
    <x v="104"/>
    <s v="Wednesday"/>
    <s v="Different"/>
    <n v="38.97"/>
    <n v="6.03"/>
    <n v="0.15473441108545036"/>
    <n v="1.5"/>
    <d v="1899-12-30T18:28:00"/>
    <d v="1899-12-30T19:03:00"/>
    <d v="1899-12-30T00:35:00"/>
    <n v="35"/>
    <s v="6853 North Dallas Parkway"/>
    <n v="219"/>
    <x v="2"/>
    <x v="0"/>
    <x v="2"/>
    <s v="No"/>
  </r>
  <r>
    <n v="729"/>
    <x v="104"/>
    <s v="Wednesday"/>
    <s v="Same"/>
    <n v="17"/>
    <n v="10"/>
    <n v="0.58823529411764708"/>
    <n v="1.5"/>
    <d v="1899-12-30T18:29:00"/>
    <d v="1899-12-30T19:30:00"/>
    <d v="1899-12-30T01:01:00"/>
    <n v="61"/>
    <s v="7540 Edna Court"/>
    <m/>
    <x v="2"/>
    <x v="0"/>
    <x v="1"/>
    <s v="No"/>
  </r>
  <r>
    <n v="730"/>
    <x v="104"/>
    <s v="Wednesday"/>
    <s v="Same"/>
    <n v="17"/>
    <n v="5"/>
    <n v="0.29411764705882354"/>
    <n v="1.5"/>
    <d v="1899-12-30T19:19:00"/>
    <d v="1899-12-30T20:01:00"/>
    <d v="1899-12-30T00:42:00"/>
    <n v="42"/>
    <s v="10809 Promise Land Drive"/>
    <m/>
    <x v="0"/>
    <x v="0"/>
    <x v="0"/>
    <s v="No"/>
  </r>
  <r>
    <n v="731"/>
    <x v="104"/>
    <s v="Wednesday"/>
    <s v="Same"/>
    <n v="50.23"/>
    <n v="6"/>
    <n v="0.11945052757316346"/>
    <n v="5"/>
    <d v="1899-12-30T19:41:00"/>
    <d v="1899-12-30T20:21:00"/>
    <d v="1899-12-30T00:40:00"/>
    <n v="40"/>
    <s v="10429 Cochron Drive"/>
    <m/>
    <x v="5"/>
    <x v="0"/>
    <x v="0"/>
    <s v="No"/>
  </r>
  <r>
    <n v="732"/>
    <x v="104"/>
    <s v="Wednesday"/>
    <s v="Same"/>
    <n v="18.940000000000001"/>
    <n v="3"/>
    <n v="0.1583949313621964"/>
    <n v="1.5"/>
    <d v="1899-12-30T20:17:00"/>
    <d v="1899-12-30T21:16:00"/>
    <d v="1899-12-30T00:59:00"/>
    <n v="59"/>
    <s v="5745 Bozeman Drive"/>
    <n v="8124"/>
    <x v="2"/>
    <x v="0"/>
    <x v="1"/>
    <s v="No"/>
  </r>
  <r>
    <n v="733"/>
    <x v="104"/>
    <s v="Wednesday"/>
    <s v="Same"/>
    <n v="44.06"/>
    <n v="7.94"/>
    <n v="0.1802088061733999"/>
    <n v="1.5"/>
    <d v="1899-12-30T20:37:00"/>
    <d v="1899-12-30T21:28:00"/>
    <d v="1899-12-30T00:51:00"/>
    <n v="51"/>
    <s v="5805 Granite Parkway"/>
    <n v="522"/>
    <x v="2"/>
    <x v="0"/>
    <x v="2"/>
    <s v="No"/>
  </r>
  <r>
    <n v="734"/>
    <x v="104"/>
    <s v="Wednesday"/>
    <s v="Same"/>
    <n v="19.7"/>
    <n v="5"/>
    <n v="0.25380710659898476"/>
    <n v="5"/>
    <d v="1899-12-30T20:37:00"/>
    <d v="1899-12-30T21:53:00"/>
    <d v="1899-12-30T01:16:00"/>
    <n v="76"/>
    <s v="7163 Bramblebush Drive"/>
    <m/>
    <x v="0"/>
    <x v="0"/>
    <x v="0"/>
    <s v="No"/>
  </r>
  <r>
    <n v="735"/>
    <x v="105"/>
    <s v="Friday"/>
    <s v="Different"/>
    <n v="25.66"/>
    <n v="5"/>
    <n v="0.19485580670303976"/>
    <n v="5"/>
    <d v="1899-12-30T18:05:00"/>
    <d v="1899-12-30T18:38:00"/>
    <d v="1899-12-30T00:33:00"/>
    <n v="33"/>
    <s v="2619 Bandolier Lane"/>
    <m/>
    <x v="0"/>
    <x v="0"/>
    <x v="0"/>
    <s v="No"/>
  </r>
  <r>
    <n v="736"/>
    <x v="105"/>
    <s v="Friday"/>
    <s v="Same"/>
    <n v="25.44"/>
    <n v="5"/>
    <n v="0.19654088050314464"/>
    <n v="1.5"/>
    <d v="1899-12-30T19:05:00"/>
    <d v="1899-12-30T19:49:00"/>
    <d v="1899-12-30T00:44:00"/>
    <n v="44"/>
    <s v="2868 Hidden Knoll Trail"/>
    <m/>
    <x v="0"/>
    <x v="0"/>
    <x v="0"/>
    <s v="No"/>
  </r>
  <r>
    <n v="737"/>
    <x v="105"/>
    <s v="Friday"/>
    <s v="Same"/>
    <n v="42.92"/>
    <n v="5"/>
    <n v="0.11649580615097856"/>
    <n v="1.5"/>
    <d v="1899-12-30T19:55:00"/>
    <d v="1899-12-30T20:32:00"/>
    <d v="1899-12-30T00:37:00"/>
    <n v="37"/>
    <s v="4548 Limerick Lane"/>
    <m/>
    <x v="0"/>
    <x v="0"/>
    <x v="0"/>
    <s v="No"/>
  </r>
  <r>
    <n v="738"/>
    <x v="105"/>
    <s v="Friday"/>
    <s v="Same"/>
    <n v="48.66"/>
    <n v="7"/>
    <n v="0.14385532264693796"/>
    <n v="5"/>
    <d v="1899-12-30T20:04:00"/>
    <d v="1899-12-30T20:43:00"/>
    <d v="1899-12-30T00:39:00"/>
    <n v="39"/>
    <s v="5788 Country View Lane"/>
    <m/>
    <x v="0"/>
    <x v="0"/>
    <x v="0"/>
    <s v="No"/>
  </r>
  <r>
    <n v="739"/>
    <x v="105"/>
    <s v="Friday"/>
    <s v="Same"/>
    <n v="35.4"/>
    <n v="6"/>
    <n v="0.16949152542372883"/>
    <n v="1.5"/>
    <d v="1899-12-30T21:01:00"/>
    <d v="1899-12-30T21:40:00"/>
    <d v="1899-12-30T00:39:00"/>
    <n v="39"/>
    <s v="4230 Artisan Park"/>
    <n v="309"/>
    <x v="0"/>
    <x v="0"/>
    <x v="1"/>
    <s v="No"/>
  </r>
  <r>
    <n v="740"/>
    <x v="105"/>
    <s v="Friday"/>
    <s v="Same"/>
    <n v="152.15"/>
    <n v="10"/>
    <n v="6.5724613867893522E-2"/>
    <n v="1.5"/>
    <d v="1899-12-30T21:51:00"/>
    <d v="1899-12-30T22:24:00"/>
    <d v="1899-12-30T00:33:00"/>
    <n v="33"/>
    <s v="5872 TX-121"/>
    <n v="104"/>
    <x v="0"/>
    <x v="0"/>
    <x v="3"/>
    <s v="No"/>
  </r>
  <r>
    <n v="741"/>
    <x v="106"/>
    <s v="Saturday"/>
    <s v="Different"/>
    <n v="18.62"/>
    <n v="4"/>
    <n v="0.21482277121374865"/>
    <n v="1.5"/>
    <d v="1899-12-30T17:51:00"/>
    <d v="1899-12-30T18:19:00"/>
    <d v="1899-12-30T00:28:00"/>
    <n v="28"/>
    <s v="1634 Torey Pines Lane"/>
    <m/>
    <x v="0"/>
    <x v="0"/>
    <x v="0"/>
    <s v="No"/>
  </r>
  <r>
    <n v="742"/>
    <x v="106"/>
    <s v="Saturday"/>
    <s v="Same"/>
    <n v="34.799999999999997"/>
    <n v="7"/>
    <n v="0.20114942528735633"/>
    <n v="1.5"/>
    <d v="1899-12-30T17:57:00"/>
    <d v="1899-12-30T18:36:00"/>
    <d v="1899-12-30T00:39:00"/>
    <n v="39"/>
    <s v="3610 Caruth Lane"/>
    <m/>
    <x v="0"/>
    <x v="0"/>
    <x v="0"/>
    <s v="No"/>
  </r>
  <r>
    <n v="743"/>
    <x v="106"/>
    <s v="Saturday"/>
    <s v="Same"/>
    <n v="34.32"/>
    <n v="4"/>
    <n v="0.11655011655011654"/>
    <n v="1.5"/>
    <d v="1899-12-30T19:45:00"/>
    <d v="1899-12-30T20:18:00"/>
    <d v="1899-12-30T00:33:00"/>
    <n v="33"/>
    <s v="4351 Republic Drive"/>
    <m/>
    <x v="0"/>
    <x v="4"/>
    <x v="0"/>
    <s v="No"/>
  </r>
  <r>
    <n v="744"/>
    <x v="106"/>
    <s v="Saturday"/>
    <s v="Same"/>
    <n v="20.02"/>
    <n v="4"/>
    <n v="0.19980019980019981"/>
    <n v="1.5"/>
    <d v="1899-12-30T19:29:00"/>
    <d v="1899-12-30T20:25:00"/>
    <d v="1899-12-30T00:56:00"/>
    <n v="56"/>
    <s v="4542 Haverford Drive"/>
    <m/>
    <x v="0"/>
    <x v="0"/>
    <x v="0"/>
    <s v="No"/>
  </r>
  <r>
    <n v="745"/>
    <x v="106"/>
    <s v="Saturday"/>
    <s v="Same"/>
    <n v="28.09"/>
    <n v="3"/>
    <n v="0.10679957280170879"/>
    <n v="1.5"/>
    <d v="1899-12-30T19:37:00"/>
    <d v="1899-12-30T20:34:00"/>
    <d v="1899-12-30T00:57:00"/>
    <n v="57"/>
    <s v="5595 Cecina Drive"/>
    <m/>
    <x v="0"/>
    <x v="0"/>
    <x v="0"/>
    <s v="No"/>
  </r>
  <r>
    <n v="746"/>
    <x v="107"/>
    <s v="Sunday"/>
    <s v="Different"/>
    <n v="22.41"/>
    <n v="4"/>
    <n v="0.17849174475680499"/>
    <n v="1.5"/>
    <d v="1899-12-30T16:30:00"/>
    <d v="1899-12-30T17:01:00"/>
    <d v="1899-12-30T00:31:00"/>
    <n v="31.000000000000004"/>
    <s v="4526 Oak Shores Drive"/>
    <m/>
    <x v="2"/>
    <x v="0"/>
    <x v="0"/>
    <s v="No"/>
  </r>
  <r>
    <n v="747"/>
    <x v="107"/>
    <s v="Sunday"/>
    <s v="Same"/>
    <n v="50.88"/>
    <n v="10"/>
    <n v="0.19654088050314464"/>
    <n v="1.5"/>
    <d v="1899-12-30T17:01:00"/>
    <d v="1899-12-30T17:32:00"/>
    <d v="1899-12-30T00:31:00"/>
    <n v="31.000000000000004"/>
    <s v="11 Cyprus Point Court"/>
    <m/>
    <x v="0"/>
    <x v="1"/>
    <x v="0"/>
    <s v="No"/>
  </r>
  <r>
    <n v="748"/>
    <x v="107"/>
    <s v="Sunday"/>
    <s v="Same"/>
    <n v="16.18"/>
    <n v="5"/>
    <n v="0.30902348578491967"/>
    <n v="1.5"/>
    <d v="1899-12-30T17:04:00"/>
    <d v="1899-12-30T17:46:00"/>
    <d v="1899-12-30T00:42:00"/>
    <n v="42"/>
    <s v="5200 Town and Country Blvd"/>
    <n v="1125"/>
    <x v="0"/>
    <x v="0"/>
    <x v="1"/>
    <s v="No"/>
  </r>
  <r>
    <n v="749"/>
    <x v="107"/>
    <s v="Sunday"/>
    <s v="Same"/>
    <n v="43.79"/>
    <n v="7"/>
    <n v="0.15985384791048185"/>
    <n v="1.5"/>
    <d v="1899-12-30T18:00:00"/>
    <d v="1899-12-30T18:35:00"/>
    <d v="1899-12-30T00:35:00"/>
    <n v="35"/>
    <s v="8305 Halliford Drive"/>
    <m/>
    <x v="2"/>
    <x v="0"/>
    <x v="0"/>
    <s v="No"/>
  </r>
  <r>
    <n v="750"/>
    <x v="107"/>
    <s v="Sunday"/>
    <s v="Same"/>
    <n v="23.35"/>
    <n v="5"/>
    <n v="0.21413276231263381"/>
    <n v="1.5"/>
    <d v="1899-12-30T18:46:00"/>
    <d v="1899-12-30T19:17:00"/>
    <d v="1899-12-30T00:31:00"/>
    <n v="31.000000000000004"/>
    <s v="3419 United Lane"/>
    <m/>
    <x v="0"/>
    <x v="4"/>
    <x v="0"/>
    <s v="No"/>
  </r>
  <r>
    <n v="751"/>
    <x v="107"/>
    <s v="Sunday"/>
    <s v="Same"/>
    <n v="30.31"/>
    <n v="3"/>
    <n v="9.8977235235895744E-2"/>
    <n v="1.5"/>
    <d v="1899-12-30T19:21:00"/>
    <d v="1899-12-30T19:58:00"/>
    <d v="1899-12-30T00:37:00"/>
    <n v="37"/>
    <s v="7909 Abbey Road"/>
    <m/>
    <x v="0"/>
    <x v="0"/>
    <x v="0"/>
    <s v="No"/>
  </r>
  <r>
    <n v="752"/>
    <x v="108"/>
    <s v="Friday"/>
    <s v="Different"/>
    <n v="29.44"/>
    <n v="5.56"/>
    <n v="0.18885869565217389"/>
    <n v="5"/>
    <d v="1899-12-30T18:00:00"/>
    <d v="1899-12-30T18:00:00"/>
    <d v="1899-12-30T00:00:00"/>
    <n v="0"/>
    <s v="5052 Havasu Drive"/>
    <m/>
    <x v="0"/>
    <x v="0"/>
    <x v="0"/>
    <s v="Yes"/>
  </r>
  <r>
    <n v="753"/>
    <x v="108"/>
    <s v="Friday"/>
    <s v="Same"/>
    <n v="37.29"/>
    <n v="8"/>
    <n v="0.2145347278090641"/>
    <n v="1.5"/>
    <d v="1899-12-30T17:20:00"/>
    <d v="1899-12-30T18:14:00"/>
    <d v="1899-12-30T00:54:00"/>
    <n v="53.999999999999993"/>
    <s v="5005 Pinehurst Drive"/>
    <m/>
    <x v="0"/>
    <x v="1"/>
    <x v="0"/>
    <s v="No"/>
  </r>
  <r>
    <n v="754"/>
    <x v="108"/>
    <s v="Friday"/>
    <s v="Same"/>
    <n v="36.479999999999997"/>
    <n v="6"/>
    <n v="0.16447368421052633"/>
    <n v="1.5"/>
    <d v="1899-12-30T17:17:00"/>
    <d v="1899-12-30T18:24:00"/>
    <d v="1899-12-30T01:07:00"/>
    <n v="67"/>
    <s v="1618 Hilton Head Lane"/>
    <m/>
    <x v="0"/>
    <x v="0"/>
    <x v="0"/>
    <s v="No"/>
  </r>
  <r>
    <n v="755"/>
    <x v="108"/>
    <s v="Friday"/>
    <s v="Same"/>
    <n v="34.1"/>
    <n v="5"/>
    <n v="0.14662756598240467"/>
    <n v="1.5"/>
    <d v="1899-12-30T18:11:00"/>
    <d v="1899-12-30T19:00:00"/>
    <d v="1899-12-30T00:49:00"/>
    <n v="49"/>
    <s v="3116 Seneca Drive"/>
    <m/>
    <x v="0"/>
    <x v="3"/>
    <x v="0"/>
    <s v="No"/>
  </r>
  <r>
    <n v="756"/>
    <x v="108"/>
    <s v="Friday"/>
    <s v="Same"/>
    <n v="6.71"/>
    <n v="5.29"/>
    <n v="0.7883755588673621"/>
    <n v="1.5"/>
    <d v="1899-12-30T18:21:00"/>
    <d v="1899-12-30T19:06:00"/>
    <d v="1899-12-30T00:45:00"/>
    <n v="45"/>
    <s v="2887 Montreaux Drive"/>
    <m/>
    <x v="0"/>
    <x v="3"/>
    <x v="0"/>
    <s v="No"/>
  </r>
  <r>
    <n v="757"/>
    <x v="108"/>
    <s v="Friday"/>
    <s v="Same"/>
    <n v="28.36"/>
    <n v="7.64"/>
    <n v="0.26939351198871647"/>
    <n v="5"/>
    <d v="1899-12-30T18:17:00"/>
    <d v="1899-12-30T19:21:00"/>
    <d v="1899-12-30T01:04:00"/>
    <n v="64"/>
    <s v="4512 Cromwell Court"/>
    <m/>
    <x v="0"/>
    <x v="0"/>
    <x v="0"/>
    <s v="No"/>
  </r>
  <r>
    <n v="758"/>
    <x v="108"/>
    <s v="Friday"/>
    <s v="Same"/>
    <n v="39.130000000000003"/>
    <n v="5"/>
    <n v="0.12777919754663941"/>
    <n v="1.5"/>
    <d v="1899-12-30T19:52:00"/>
    <d v="1899-12-30T20:26:00"/>
    <d v="1899-12-30T00:34:00"/>
    <n v="34"/>
    <s v="6109 Shady Oaks Drive"/>
    <m/>
    <x v="0"/>
    <x v="0"/>
    <x v="0"/>
    <s v="No"/>
  </r>
  <r>
    <n v="759"/>
    <x v="108"/>
    <s v="Friday"/>
    <s v="Same"/>
    <n v="32.479999999999997"/>
    <n v="5"/>
    <n v="0.1539408866995074"/>
    <n v="1.5"/>
    <d v="1899-12-30T19:44:00"/>
    <d v="1899-12-30T20:35:00"/>
    <d v="1899-12-30T00:51:00"/>
    <n v="51"/>
    <s v="6808 Firenze Lane"/>
    <m/>
    <x v="0"/>
    <x v="0"/>
    <x v="0"/>
    <s v="No"/>
  </r>
  <r>
    <n v="760"/>
    <x v="108"/>
    <s v="Friday"/>
    <s v="Same"/>
    <n v="28.9"/>
    <n v="5"/>
    <n v="0.17301038062283738"/>
    <n v="1.5"/>
    <d v="1899-12-30T20:02:00"/>
    <d v="1899-12-30T20:48:00"/>
    <d v="1899-12-30T00:46:00"/>
    <n v="46.000000000000007"/>
    <s v="3392 Mayflower Drive"/>
    <m/>
    <x v="0"/>
    <x v="4"/>
    <x v="0"/>
    <s v="No"/>
  </r>
  <r>
    <n v="761"/>
    <x v="108"/>
    <s v="Friday"/>
    <s v="Same"/>
    <n v="35.18"/>
    <n v="5"/>
    <n v="0.14212620807276863"/>
    <n v="1.5"/>
    <d v="1899-12-30T20:55:00"/>
    <d v="1899-12-30T21:26:00"/>
    <d v="1899-12-30T00:31:00"/>
    <n v="31.000000000000004"/>
    <s v="11909 Primrose Lane"/>
    <m/>
    <x v="0"/>
    <x v="0"/>
    <x v="0"/>
    <s v="No"/>
  </r>
  <r>
    <n v="762"/>
    <x v="108"/>
    <s v="Friday"/>
    <s v="Same"/>
    <n v="23.76"/>
    <n v="4.24"/>
    <n v="0.17845117845117844"/>
    <n v="1.5"/>
    <d v="1899-12-30T20:53:00"/>
    <d v="1899-12-30T21:43:00"/>
    <d v="1899-12-30T00:50:00"/>
    <n v="50"/>
    <s v="8400 Stonebrook Parkway"/>
    <n v="1222"/>
    <x v="0"/>
    <x v="0"/>
    <x v="1"/>
    <s v="No"/>
  </r>
  <r>
    <n v="763"/>
    <x v="109"/>
    <s v="Saturday"/>
    <s v="Different"/>
    <n v="38.049999999999997"/>
    <n v="6"/>
    <n v="0.15768725361366623"/>
    <n v="1.5"/>
    <d v="1899-12-30T16:21:00"/>
    <d v="1899-12-30T17:09:00"/>
    <d v="1899-12-30T00:48:00"/>
    <n v="48"/>
    <s v="6109 Highview Drive"/>
    <m/>
    <x v="2"/>
    <x v="0"/>
    <x v="0"/>
    <s v="No"/>
  </r>
  <r>
    <n v="764"/>
    <x v="109"/>
    <s v="Saturday"/>
    <s v="Same"/>
    <n v="87.84"/>
    <n v="20"/>
    <n v="0.22768670309653916"/>
    <n v="5"/>
    <d v="1899-12-30T18:45:00"/>
    <d v="1899-12-30T18:45:00"/>
    <d v="1899-12-30T00:00:00"/>
    <n v="0"/>
    <s v="3729 Winchester Drive"/>
    <m/>
    <x v="3"/>
    <x v="0"/>
    <x v="0"/>
    <s v="Yes"/>
  </r>
  <r>
    <n v="765"/>
    <x v="109"/>
    <s v="Saturday"/>
    <s v="Same"/>
    <n v="62.68"/>
    <n v="12.32"/>
    <n v="0.19655392469687302"/>
    <n v="5"/>
    <d v="1899-12-30T17:57:00"/>
    <d v="1899-12-30T18:50:00"/>
    <d v="1899-12-30T00:53:00"/>
    <n v="53"/>
    <s v="6708 Stallion Ranch Road"/>
    <m/>
    <x v="0"/>
    <x v="0"/>
    <x v="0"/>
    <s v="No"/>
  </r>
  <r>
    <n v="766"/>
    <x v="109"/>
    <s v="Saturday"/>
    <s v="Same"/>
    <n v="5.41"/>
    <n v="19.59"/>
    <n v="3.621072088724584"/>
    <n v="5"/>
    <d v="1899-12-30T18:00:00"/>
    <d v="1899-12-30T19:00:00"/>
    <d v="1899-12-30T01:00:00"/>
    <n v="60"/>
    <s v="1331 Briar Hollow Lane"/>
    <m/>
    <x v="0"/>
    <x v="0"/>
    <x v="0"/>
    <s v="No"/>
  </r>
  <r>
    <n v="767"/>
    <x v="109"/>
    <s v="Saturday"/>
    <s v="Same"/>
    <n v="32.369999999999997"/>
    <n v="5"/>
    <n v="0.15446400988569664"/>
    <n v="1.5"/>
    <d v="1899-12-30T19:08:00"/>
    <d v="1899-12-30T19:52:00"/>
    <d v="1899-12-30T00:44:00"/>
    <n v="44"/>
    <s v="7121 Bishop Drive"/>
    <n v="511"/>
    <x v="2"/>
    <x v="0"/>
    <x v="2"/>
    <s v="No"/>
  </r>
  <r>
    <n v="768"/>
    <x v="109"/>
    <s v="Saturday"/>
    <s v="Same"/>
    <n v="23.82"/>
    <n v="6"/>
    <n v="0.25188916876574308"/>
    <n v="5"/>
    <d v="1899-12-30T19:24:00"/>
    <d v="1899-12-30T20:29:00"/>
    <d v="1899-12-30T01:05:00"/>
    <n v="65"/>
    <s v="10200 Independence Parkway"/>
    <n v="417"/>
    <x v="2"/>
    <x v="0"/>
    <x v="1"/>
    <s v="No"/>
  </r>
  <r>
    <n v="769"/>
    <x v="109"/>
    <s v="Saturday"/>
    <s v="Same"/>
    <n v="27.6"/>
    <n v="10"/>
    <n v="0.36231884057971014"/>
    <n v="1.5"/>
    <d v="1899-12-30T20:31:00"/>
    <d v="1899-12-30T21:17:00"/>
    <d v="1899-12-30T00:46:00"/>
    <n v="46.000000000000007"/>
    <s v="3400 Parkwood Blvd"/>
    <n v="203"/>
    <x v="0"/>
    <x v="0"/>
    <x v="2"/>
    <s v="No"/>
  </r>
  <r>
    <n v="770"/>
    <x v="109"/>
    <s v="Saturday"/>
    <s v="Same"/>
    <n v="24.84"/>
    <n v="4"/>
    <n v="0.1610305958132045"/>
    <n v="1.5"/>
    <d v="1899-12-30T20:49:00"/>
    <d v="1899-12-30T21:29:00"/>
    <d v="1899-12-30T00:40:00"/>
    <n v="40"/>
    <s v="2880 Dallas Parkway"/>
    <n v="506"/>
    <x v="0"/>
    <x v="0"/>
    <x v="2"/>
    <s v="No"/>
  </r>
  <r>
    <n v="771"/>
    <x v="110"/>
    <s v="Sunday"/>
    <s v="Different"/>
    <n v="33.229999999999997"/>
    <n v="6"/>
    <n v="0.18055973517905508"/>
    <n v="1.5"/>
    <d v="1899-12-30T16:51:00"/>
    <d v="1899-12-30T17:22:00"/>
    <d v="1899-12-30T00:31:00"/>
    <n v="31.000000000000004"/>
    <s v="7459 Shackelford Drive"/>
    <m/>
    <x v="0"/>
    <x v="0"/>
    <x v="0"/>
    <s v="No"/>
  </r>
  <r>
    <n v="772"/>
    <x v="110"/>
    <s v="Sunday"/>
    <s v="Same"/>
    <n v="36.75"/>
    <n v="8"/>
    <n v="0.21768707482993196"/>
    <n v="5"/>
    <d v="1899-12-30T17:39:00"/>
    <d v="1899-12-30T18:19:00"/>
    <d v="1899-12-30T00:40:00"/>
    <n v="40"/>
    <s v="4057 Chevy Chase Lane"/>
    <m/>
    <x v="0"/>
    <x v="0"/>
    <x v="0"/>
    <s v="No"/>
  </r>
  <r>
    <n v="773"/>
    <x v="110"/>
    <s v="Sunday"/>
    <s v="Same"/>
    <n v="102.78"/>
    <n v="20"/>
    <n v="0.1945903872348706"/>
    <n v="1.5"/>
    <d v="1899-12-30T18:46:00"/>
    <d v="1899-12-30T19:11:00"/>
    <d v="1899-12-30T00:25:00"/>
    <n v="25"/>
    <s v="6381 Norwood Drive"/>
    <m/>
    <x v="0"/>
    <x v="0"/>
    <x v="0"/>
    <s v="No"/>
  </r>
  <r>
    <n v="774"/>
    <x v="110"/>
    <s v="Sunday"/>
    <s v="Same"/>
    <n v="36.21"/>
    <n v="6"/>
    <n v="0.16570008285004142"/>
    <n v="1.5"/>
    <d v="1899-12-30T18:37:00"/>
    <d v="1899-12-30T19:21:00"/>
    <d v="1899-12-30T00:44:00"/>
    <n v="44"/>
    <s v="4280 Wellesley Drive"/>
    <m/>
    <x v="0"/>
    <x v="0"/>
    <x v="0"/>
    <s v="No"/>
  </r>
  <r>
    <n v="775"/>
    <x v="111"/>
    <s v="Friday"/>
    <s v="Different"/>
    <n v="35.130000000000003"/>
    <n v="5"/>
    <n v="0.14232849416453172"/>
    <n v="5"/>
    <d v="1899-12-30T17:01:00"/>
    <d v="1899-12-30T17:29:00"/>
    <d v="1899-12-30T00:28:00"/>
    <n v="28"/>
    <s v="7621 Capella Court"/>
    <m/>
    <x v="2"/>
    <x v="0"/>
    <x v="0"/>
    <s v="No"/>
  </r>
  <r>
    <n v="776"/>
    <x v="111"/>
    <s v="Friday"/>
    <s v="Same"/>
    <n v="97.97"/>
    <n v="10"/>
    <n v="0.10207206287639073"/>
    <n v="1.5"/>
    <d v="1899-12-30T19:00:00"/>
    <d v="1899-12-30T19:00:00"/>
    <d v="1899-12-30T00:00:00"/>
    <n v="0"/>
    <s v="4689 Adrian Way"/>
    <m/>
    <x v="2"/>
    <x v="0"/>
    <x v="0"/>
    <s v="Yes"/>
  </r>
  <r>
    <n v="777"/>
    <x v="111"/>
    <s v="Friday"/>
    <s v="Same"/>
    <n v="29.23"/>
    <n v="5"/>
    <n v="0.17105713308244955"/>
    <n v="1.5"/>
    <d v="1899-12-30T18:28:00"/>
    <d v="1899-12-30T19:14:00"/>
    <d v="1899-12-30T00:46:00"/>
    <n v="46.000000000000007"/>
    <s v="7540 Edna Court"/>
    <n v="5325"/>
    <x v="2"/>
    <x v="0"/>
    <x v="1"/>
    <s v="No"/>
  </r>
  <r>
    <n v="778"/>
    <x v="111"/>
    <s v="Friday"/>
    <s v="Same"/>
    <n v="82.7"/>
    <n v="10"/>
    <n v="0.12091898428053204"/>
    <n v="1.5"/>
    <d v="1899-12-30T19:52:00"/>
    <d v="1899-12-30T20:23:00"/>
    <d v="1899-12-30T00:31:00"/>
    <n v="31.000000000000004"/>
    <s v="6109 Highview Drive"/>
    <m/>
    <x v="2"/>
    <x v="0"/>
    <x v="0"/>
    <s v="No"/>
  </r>
  <r>
    <n v="779"/>
    <x v="111"/>
    <s v="Friday"/>
    <s v="Same"/>
    <n v="153.55000000000001"/>
    <n v="20"/>
    <n v="0.13025073266037121"/>
    <n v="1.5"/>
    <d v="1899-12-30T19:35:00"/>
    <d v="1899-12-30T20:30:00"/>
    <d v="1899-12-30T00:55:00"/>
    <n v="54.999999999999993"/>
    <s v="6701 Vista Trail"/>
    <m/>
    <x v="2"/>
    <x v="0"/>
    <x v="0"/>
    <s v="No"/>
  </r>
  <r>
    <n v="780"/>
    <x v="111"/>
    <s v="Friday"/>
    <s v="Same"/>
    <n v="29.39"/>
    <n v="5"/>
    <n v="0.1701258931609391"/>
    <n v="1.5"/>
    <d v="1899-12-30T20:11:00"/>
    <d v="1899-12-30T21:06:00"/>
    <d v="1899-12-30T00:55:00"/>
    <n v="54.999999999999993"/>
    <s v="3222 Fayette Trail"/>
    <m/>
    <x v="0"/>
    <x v="0"/>
    <x v="0"/>
    <s v="No"/>
  </r>
  <r>
    <n v="781"/>
    <x v="111"/>
    <s v="Friday"/>
    <s v="Same"/>
    <n v="35.72"/>
    <n v="3.28"/>
    <n v="9.182530795072788E-2"/>
    <n v="1.5"/>
    <d v="1899-12-30T20:37:00"/>
    <d v="1899-12-30T21:19:00"/>
    <d v="1899-12-30T00:42:00"/>
    <n v="42"/>
    <s v="4533 Voyager Drive"/>
    <m/>
    <x v="0"/>
    <x v="0"/>
    <x v="0"/>
    <s v="No"/>
  </r>
  <r>
    <n v="782"/>
    <x v="112"/>
    <s v="Saturday"/>
    <s v="Different"/>
    <n v="22.41"/>
    <n v="2"/>
    <n v="8.9245872378402494E-2"/>
    <n v="1.5"/>
    <d v="1899-12-30T17:42:00"/>
    <d v="1899-12-30T18:17:00"/>
    <d v="1899-12-30T00:35:00"/>
    <n v="35"/>
    <s v="6708 Vista Trail"/>
    <m/>
    <x v="2"/>
    <x v="0"/>
    <x v="0"/>
    <s v="No"/>
  </r>
  <r>
    <n v="783"/>
    <x v="112"/>
    <s v="Saturday"/>
    <s v="Same"/>
    <n v="85.46"/>
    <n v="17"/>
    <n v="0.19892347296981044"/>
    <n v="7"/>
    <d v="1899-12-30T18:45:00"/>
    <d v="1899-12-30T18:45:00"/>
    <d v="1899-12-30T00:00:00"/>
    <n v="0"/>
    <s v="2523 Sir Tristran Lane"/>
    <m/>
    <x v="3"/>
    <x v="0"/>
    <x v="0"/>
    <s v="Yes"/>
  </r>
  <r>
    <n v="784"/>
    <x v="112"/>
    <s v="Saturday"/>
    <s v="Same"/>
    <n v="25.66"/>
    <n v="6"/>
    <n v="0.23382696804364769"/>
    <n v="1.5"/>
    <d v="1899-12-30T19:13:00"/>
    <d v="1899-12-30T19:45:00"/>
    <d v="1899-12-30T00:32:00"/>
    <n v="32"/>
    <s v="6621 Terrace Mills Lane"/>
    <m/>
    <x v="2"/>
    <x v="0"/>
    <x v="0"/>
    <s v="No"/>
  </r>
  <r>
    <n v="785"/>
    <x v="113"/>
    <s v="Sunday"/>
    <s v="Different"/>
    <n v="35.130000000000003"/>
    <n v="5"/>
    <n v="0.14232849416453172"/>
    <n v="5"/>
    <d v="1899-12-30T17:27:00"/>
    <d v="1899-12-30T18:04:00"/>
    <d v="1899-12-30T00:37:00"/>
    <n v="37"/>
    <s v="204 Highwood Trail"/>
    <m/>
    <x v="1"/>
    <x v="0"/>
    <x v="0"/>
    <s v="No"/>
  </r>
  <r>
    <n v="786"/>
    <x v="113"/>
    <s v="Sunday"/>
    <s v="Same"/>
    <n v="55.42"/>
    <n v="9.58"/>
    <n v="0.17286178274990976"/>
    <n v="1.5"/>
    <d v="1899-12-30T18:18:00"/>
    <d v="1899-12-30T18:49:00"/>
    <d v="1899-12-30T00:31:00"/>
    <n v="31.000000000000004"/>
    <s v="6500 Sudbury Road"/>
    <m/>
    <x v="2"/>
    <x v="0"/>
    <x v="0"/>
    <s v="No"/>
  </r>
  <r>
    <n v="787"/>
    <x v="113"/>
    <s v="Sunday"/>
    <s v="Same"/>
    <n v="23.82"/>
    <n v="7"/>
    <n v="0.29387069689336692"/>
    <n v="1.5"/>
    <d v="1899-12-30T19:15:00"/>
    <d v="1899-12-30T19:49:00"/>
    <d v="1899-12-30T00:34:00"/>
    <n v="34"/>
    <s v="6706 Livorno Lane"/>
    <m/>
    <x v="0"/>
    <x v="0"/>
    <x v="0"/>
    <s v="No"/>
  </r>
  <r>
    <n v="788"/>
    <x v="113"/>
    <s v="Sunday"/>
    <s v="Same"/>
    <n v="42.76"/>
    <n v="7"/>
    <n v="0.16370439663236672"/>
    <n v="1.5"/>
    <d v="1899-12-30T19:21:00"/>
    <d v="1899-12-30T20:04:00"/>
    <d v="1899-12-30T00:43:00"/>
    <n v="43"/>
    <s v="5716 Phelps Street"/>
    <m/>
    <x v="3"/>
    <x v="0"/>
    <x v="0"/>
    <s v="No"/>
  </r>
  <r>
    <n v="789"/>
    <x v="113"/>
    <s v="Sunday"/>
    <s v="Same"/>
    <n v="41.57"/>
    <n v="2.4300000000000002"/>
    <n v="5.8455617031513113E-2"/>
    <n v="1.5"/>
    <d v="1899-12-30T19:20:00"/>
    <d v="1899-12-30T20:15:00"/>
    <d v="1899-12-30T00:55:00"/>
    <n v="54.999999999999993"/>
    <s v="5250 Town and Country Blvd"/>
    <n v="10202"/>
    <x v="0"/>
    <x v="0"/>
    <x v="1"/>
    <s v="No"/>
  </r>
  <r>
    <n v="790"/>
    <x v="114"/>
    <s v="Saturday"/>
    <s v="Different"/>
    <n v="22.14"/>
    <n v="4.8600000000000003"/>
    <n v="0.21951219512195122"/>
    <n v="5"/>
    <d v="1899-12-30T17:27:00"/>
    <d v="1899-12-30T18:22:00"/>
    <d v="1899-12-30T00:55:00"/>
    <n v="54.999999999999993"/>
    <s v="595 Kimblewick Drive"/>
    <m/>
    <x v="0"/>
    <x v="0"/>
    <x v="0"/>
    <s v="No"/>
  </r>
  <r>
    <n v="791"/>
    <x v="114"/>
    <s v="Saturday"/>
    <s v="Same"/>
    <n v="49.2"/>
    <n v="10"/>
    <n v="0.2032520325203252"/>
    <n v="1.5"/>
    <d v="1899-12-30T17:48:00"/>
    <d v="1899-12-30T18:41:00"/>
    <d v="1899-12-30T00:53:00"/>
    <n v="53"/>
    <s v="3760 Summit Court"/>
    <m/>
    <x v="0"/>
    <x v="0"/>
    <x v="0"/>
    <s v="No"/>
  </r>
  <r>
    <n v="792"/>
    <x v="114"/>
    <s v="Saturday"/>
    <s v="Same"/>
    <n v="46.98"/>
    <n v="10"/>
    <n v="0.21285653469561516"/>
    <n v="1.5"/>
    <d v="1899-12-30T17:46:00"/>
    <d v="1899-12-30T18:52:00"/>
    <d v="1899-12-30T01:06:00"/>
    <n v="66"/>
    <s v="2338 Chelsea Drive"/>
    <m/>
    <x v="0"/>
    <x v="0"/>
    <x v="0"/>
    <s v="No"/>
  </r>
  <r>
    <n v="793"/>
    <x v="114"/>
    <s v="Saturday"/>
    <s v="Same"/>
    <n v="124.22"/>
    <n v="20"/>
    <n v="0.16100466913540493"/>
    <n v="5"/>
    <d v="1899-12-30T19:13:00"/>
    <d v="1899-12-30T20:00:00"/>
    <d v="1899-12-30T00:47:00"/>
    <n v="47.000000000000007"/>
    <s v="2753 Cactus Trail"/>
    <m/>
    <x v="0"/>
    <x v="0"/>
    <x v="0"/>
    <s v="No"/>
  </r>
  <r>
    <n v="794"/>
    <x v="114"/>
    <s v="Saturday"/>
    <s v="Same"/>
    <n v="97.32"/>
    <n v="20"/>
    <n v="0.20550760378133992"/>
    <n v="1.5"/>
    <d v="1899-12-30T20:30:00"/>
    <d v="1899-12-30T21:07:00"/>
    <d v="1899-12-30T00:37:00"/>
    <n v="37"/>
    <s v="2880 Dallas Parkway"/>
    <m/>
    <x v="0"/>
    <x v="0"/>
    <x v="2"/>
    <s v="No"/>
  </r>
  <r>
    <n v="795"/>
    <x v="114"/>
    <s v="Saturday"/>
    <s v="Same"/>
    <n v="59.48"/>
    <n v="12"/>
    <n v="0.20174848688634836"/>
    <n v="5"/>
    <d v="1899-12-30T20:28:00"/>
    <d v="1899-12-30T21:30:00"/>
    <d v="1899-12-30T01:02:00"/>
    <n v="62.000000000000007"/>
    <s v="10150 Big Horn Trail"/>
    <m/>
    <x v="0"/>
    <x v="0"/>
    <x v="0"/>
    <s v="No"/>
  </r>
  <r>
    <n v="796"/>
    <x v="115"/>
    <s v="Sunday"/>
    <s v="Different"/>
    <n v="44.06"/>
    <n v="6"/>
    <n v="0.13617793917385382"/>
    <n v="1.5"/>
    <d v="1899-12-30T17:17:00"/>
    <d v="1899-12-30T17:48:00"/>
    <d v="1899-12-30T00:31:00"/>
    <n v="31.000000000000004"/>
    <s v="5985 Burkett Drive"/>
    <m/>
    <x v="0"/>
    <x v="0"/>
    <x v="0"/>
    <s v="No"/>
  </r>
  <r>
    <n v="797"/>
    <x v="115"/>
    <s v="Sunday"/>
    <s v="Same"/>
    <n v="34.86"/>
    <n v="4"/>
    <n v="0.11474469305794607"/>
    <n v="5"/>
    <d v="1899-12-30T17:06:00"/>
    <d v="1899-12-30T18:00:00"/>
    <d v="1899-12-30T00:54:00"/>
    <n v="53.999999999999993"/>
    <s v="6170 Sophora Lane"/>
    <m/>
    <x v="0"/>
    <x v="0"/>
    <x v="0"/>
    <s v="No"/>
  </r>
  <r>
    <n v="798"/>
    <x v="115"/>
    <s v="Sunday"/>
    <s v="Same"/>
    <n v="36.81"/>
    <n v="5"/>
    <n v="0.13583265417006246"/>
    <n v="5"/>
    <d v="1899-12-30T17:17:00"/>
    <d v="1899-12-30T18:17:00"/>
    <d v="1899-12-30T01:00:00"/>
    <n v="60"/>
    <s v="4057 Chevy Chase Lane"/>
    <m/>
    <x v="0"/>
    <x v="0"/>
    <x v="0"/>
    <s v="No"/>
  </r>
  <r>
    <n v="799"/>
    <x v="115"/>
    <s v="Sunday"/>
    <s v="Same"/>
    <n v="41.68"/>
    <n v="8.32"/>
    <n v="0.199616122840691"/>
    <n v="1.5"/>
    <d v="1899-12-30T19:10:00"/>
    <d v="1899-12-30T19:38:00"/>
    <d v="1899-12-30T00:28:00"/>
    <n v="28"/>
    <s v="5732 Cadence Lane"/>
    <m/>
    <x v="2"/>
    <x v="0"/>
    <x v="0"/>
    <s v="No"/>
  </r>
  <r>
    <n v="800"/>
    <x v="115"/>
    <s v="Sunday"/>
    <s v="Same"/>
    <n v="71.88"/>
    <n v="8"/>
    <n v="0.11129660545353368"/>
    <n v="1.5"/>
    <d v="1899-12-30T19:11:00"/>
    <d v="1899-12-30T19:53:00"/>
    <d v="1899-12-30T00:42:00"/>
    <n v="42"/>
    <s v="4519 Oak Shores Drive"/>
    <m/>
    <x v="2"/>
    <x v="0"/>
    <x v="0"/>
    <s v="No"/>
  </r>
  <r>
    <n v="801"/>
    <x v="116"/>
    <s v="Friday"/>
    <s v="Different"/>
    <n v="33.5"/>
    <n v="5"/>
    <n v="0.14925373134328357"/>
    <n v="5"/>
    <d v="1899-12-30T17:05:00"/>
    <d v="1899-12-30T17:46:00"/>
    <d v="1899-12-30T00:41:00"/>
    <n v="41"/>
    <s v="9780 North County Road"/>
    <m/>
    <x v="0"/>
    <x v="0"/>
    <x v="0"/>
    <s v="No"/>
  </r>
  <r>
    <n v="802"/>
    <x v="116"/>
    <s v="Friday"/>
    <s v="Same"/>
    <n v="53.75"/>
    <n v="10"/>
    <n v="0.18604651162790697"/>
    <n v="1.5"/>
    <d v="1899-12-30T17:09:00"/>
    <d v="1899-12-30T18:04:00"/>
    <d v="1899-12-30T00:55:00"/>
    <n v="54.999999999999993"/>
    <s v="7600 John Q Hammons Blvd"/>
    <m/>
    <x v="0"/>
    <x v="0"/>
    <x v="2"/>
    <s v="No"/>
  </r>
  <r>
    <n v="803"/>
    <x v="116"/>
    <s v="Friday"/>
    <s v="Same"/>
    <n v="32.200000000000003"/>
    <n v="5"/>
    <n v="0.15527950310559005"/>
    <n v="1.5"/>
    <d v="1899-12-30T17:09:00"/>
    <d v="1899-12-30T18:19:00"/>
    <d v="1899-12-30T01:10:00"/>
    <n v="70"/>
    <s v="3150 Avenue of the Stars"/>
    <n v="2340"/>
    <x v="0"/>
    <x v="0"/>
    <x v="1"/>
    <s v="No"/>
  </r>
  <r>
    <n v="804"/>
    <x v="116"/>
    <s v="Friday"/>
    <s v="Same"/>
    <n v="24.57"/>
    <n v="4"/>
    <n v="0.1628001628001628"/>
    <n v="1.5"/>
    <d v="1899-12-30T18:45:00"/>
    <d v="1899-12-30T19:20:00"/>
    <d v="1899-12-30T00:35:00"/>
    <n v="35"/>
    <s v="7600 John Q Hammons Blvd"/>
    <n v="403"/>
    <x v="0"/>
    <x v="0"/>
    <x v="2"/>
    <s v="No"/>
  </r>
  <r>
    <n v="805"/>
    <x v="116"/>
    <s v="Friday"/>
    <s v="Same"/>
    <n v="58.4"/>
    <n v="1.5"/>
    <n v="2.5684931506849317E-2"/>
    <n v="5"/>
    <d v="1899-12-30T18:45:00"/>
    <d v="1899-12-30T19:38:00"/>
    <d v="1899-12-30T00:53:00"/>
    <n v="53"/>
    <s v="6204 Southwind Lane"/>
    <m/>
    <x v="5"/>
    <x v="0"/>
    <x v="0"/>
    <s v="No"/>
  </r>
  <r>
    <n v="806"/>
    <x v="116"/>
    <s v="Friday"/>
    <s v="Same"/>
    <n v="35.67"/>
    <n v="4"/>
    <n v="0.112139052425007"/>
    <n v="5"/>
    <d v="1899-12-30T18:55:00"/>
    <d v="1899-12-30T19:47:00"/>
    <d v="1899-12-30T00:52:00"/>
    <n v="52"/>
    <s v="7006 Redcreek Trail"/>
    <m/>
    <x v="0"/>
    <x v="0"/>
    <x v="0"/>
    <s v="No"/>
  </r>
  <r>
    <n v="807"/>
    <x v="116"/>
    <s v="Friday"/>
    <s v="Same"/>
    <n v="29.71"/>
    <n v="9"/>
    <n v="0.30292830696735107"/>
    <n v="5"/>
    <d v="1899-12-30T19:58:00"/>
    <d v="1899-12-30T20:36:00"/>
    <d v="1899-12-30T00:38:00"/>
    <n v="38"/>
    <s v="3712 Canterbury Drive"/>
    <m/>
    <x v="3"/>
    <x v="0"/>
    <x v="0"/>
    <s v="No"/>
  </r>
  <r>
    <n v="808"/>
    <x v="117"/>
    <s v="Saturday"/>
    <s v="Different"/>
    <n v="33.5"/>
    <n v="4"/>
    <n v="0.11940298507462686"/>
    <n v="1.5"/>
    <d v="1899-12-30T17:32:00"/>
    <d v="1899-12-30T18:10:00"/>
    <d v="1899-12-30T00:38:00"/>
    <n v="38"/>
    <s v="7101 Fieldstone Drive"/>
    <m/>
    <x v="0"/>
    <x v="0"/>
    <x v="0"/>
    <s v="No"/>
  </r>
  <r>
    <n v="809"/>
    <x v="117"/>
    <s v="Saturday"/>
    <s v="Same"/>
    <n v="43.19"/>
    <n v="5"/>
    <n v="0.11576753878212549"/>
    <n v="1.5"/>
    <d v="1899-12-30T17:43:00"/>
    <d v="1899-12-30T18:26:00"/>
    <d v="1899-12-30T00:43:00"/>
    <n v="43"/>
    <s v="7440 Rose Garden Blvd"/>
    <m/>
    <x v="0"/>
    <x v="0"/>
    <x v="0"/>
    <s v="No"/>
  </r>
  <r>
    <n v="810"/>
    <x v="117"/>
    <s v="Saturday"/>
    <s v="Same"/>
    <n v="18.940000000000001"/>
    <n v="4"/>
    <n v="0.21119324181626187"/>
    <n v="1.5"/>
    <d v="1899-12-30T18:38:00"/>
    <d v="1899-12-30T19:20:00"/>
    <d v="1899-12-30T00:42:00"/>
    <n v="42"/>
    <s v="3200 Rifle Gap Road"/>
    <n v="1468"/>
    <x v="0"/>
    <x v="0"/>
    <x v="1"/>
    <s v="No"/>
  </r>
  <r>
    <n v="811"/>
    <x v="117"/>
    <s v="Saturday"/>
    <s v="Same"/>
    <n v="34.04"/>
    <n v="6"/>
    <n v="0.17626321974148063"/>
    <n v="1.5"/>
    <d v="1899-12-30T18:31:00"/>
    <d v="1899-12-30T19:38:00"/>
    <d v="1899-12-30T01:07:00"/>
    <n v="67"/>
    <s v="12150 Toscana Way"/>
    <m/>
    <x v="0"/>
    <x v="0"/>
    <x v="0"/>
    <s v="No"/>
  </r>
  <r>
    <n v="812"/>
    <x v="117"/>
    <s v="Saturday"/>
    <s v="Same"/>
    <n v="23.27"/>
    <n v="10"/>
    <n v="0.42973785990545765"/>
    <n v="1.5"/>
    <d v="1899-12-30T20:09:00"/>
    <d v="1899-12-30T20:46:00"/>
    <d v="1899-12-30T00:37:00"/>
    <n v="37"/>
    <s v="7600 John Q Hammons Blvd"/>
    <n v="711"/>
    <x v="0"/>
    <x v="0"/>
    <x v="2"/>
    <s v="No"/>
  </r>
  <r>
    <n v="813"/>
    <x v="117"/>
    <s v="Saturday"/>
    <s v="Same"/>
    <n v="29.44"/>
    <n v="5"/>
    <n v="0.16983695652173914"/>
    <n v="1.5"/>
    <d v="1899-12-30T20:03:00"/>
    <d v="1899-12-30T21:00:00"/>
    <d v="1899-12-30T00:57:00"/>
    <n v="57"/>
    <s v="7255 Texas Ranger Drive"/>
    <n v="1116"/>
    <x v="0"/>
    <x v="0"/>
    <x v="1"/>
    <s v="No"/>
  </r>
  <r>
    <n v="814"/>
    <x v="118"/>
    <s v="Sunday"/>
    <s v="Different"/>
    <n v="39.51"/>
    <n v="5"/>
    <n v="0.12655024044545685"/>
    <n v="1.5"/>
    <d v="1899-12-30T17:11:00"/>
    <d v="1899-12-30T17:46:00"/>
    <d v="1899-12-30T00:35:00"/>
    <n v="35"/>
    <s v="5540 Rockwood Drive"/>
    <m/>
    <x v="3"/>
    <x v="0"/>
    <x v="0"/>
    <s v="No"/>
  </r>
  <r>
    <n v="815"/>
    <x v="118"/>
    <s v="Sunday"/>
    <s v="Same"/>
    <n v="23.82"/>
    <n v="6.18"/>
    <n v="0.25944584382871533"/>
    <n v="1.5"/>
    <d v="1899-12-30T17:11:00"/>
    <d v="1899-12-30T17:59:00"/>
    <d v="1899-12-30T00:48:00"/>
    <n v="48"/>
    <s v="5625 Fairfax Drive"/>
    <m/>
    <x v="0"/>
    <x v="3"/>
    <x v="0"/>
    <s v="No"/>
  </r>
  <r>
    <n v="816"/>
    <x v="118"/>
    <s v="Sunday"/>
    <s v="Same"/>
    <n v="62.41"/>
    <n v="5"/>
    <n v="8.0115366127223211E-2"/>
    <n v="5"/>
    <d v="1899-12-30T17:19:00"/>
    <d v="1899-12-30T18:11:00"/>
    <d v="1899-12-30T00:52:00"/>
    <n v="52"/>
    <s v="6683 Stallion Ranch Road"/>
    <m/>
    <x v="0"/>
    <x v="0"/>
    <x v="0"/>
    <s v="No"/>
  </r>
  <r>
    <n v="817"/>
    <x v="118"/>
    <s v="Sunday"/>
    <s v="Same"/>
    <n v="48.39"/>
    <n v="3"/>
    <n v="6.1996280223186609E-2"/>
    <n v="1.5"/>
    <d v="1899-12-30T18:50:00"/>
    <d v="1899-12-30T19:27:00"/>
    <d v="1899-12-30T00:37:00"/>
    <n v="37"/>
    <s v="4100 Hearthlight Court"/>
    <m/>
    <x v="2"/>
    <x v="0"/>
    <x v="0"/>
    <s v="No"/>
  </r>
  <r>
    <n v="818"/>
    <x v="118"/>
    <s v="Sunday"/>
    <s v="Same"/>
    <n v="40.54"/>
    <n v="6"/>
    <n v="0.1480019733596448"/>
    <n v="5"/>
    <d v="1899-12-30T18:49:00"/>
    <d v="1899-12-30T19:39:00"/>
    <d v="1899-12-30T00:50:00"/>
    <n v="50"/>
    <s v="7621 Capella Court"/>
    <m/>
    <x v="2"/>
    <x v="0"/>
    <x v="0"/>
    <s v="No"/>
  </r>
  <r>
    <n v="819"/>
    <x v="118"/>
    <s v="Sunday"/>
    <s v="Same"/>
    <n v="31.07"/>
    <n v="3"/>
    <n v="9.6556163501770195E-2"/>
    <n v="5"/>
    <d v="1899-12-30T19:42:00"/>
    <d v="1899-12-30T20:29:00"/>
    <d v="1899-12-30T00:47:00"/>
    <n v="47.000000000000007"/>
    <s v="2901 Appalachian Lane"/>
    <m/>
    <x v="0"/>
    <x v="0"/>
    <x v="0"/>
    <s v="No"/>
  </r>
  <r>
    <n v="820"/>
    <x v="118"/>
    <s v="Sunday"/>
    <s v="Same"/>
    <n v="31.34"/>
    <n v="5"/>
    <n v="0.1595405232929164"/>
    <n v="5"/>
    <d v="1899-12-30T19:54:00"/>
    <d v="1899-12-30T20:36:00"/>
    <d v="1899-12-30T00:42:00"/>
    <n v="42"/>
    <s v="3400 Cumberland Lane"/>
    <m/>
    <x v="0"/>
    <x v="0"/>
    <x v="0"/>
    <s v="No"/>
  </r>
  <r>
    <n v="821"/>
    <x v="119"/>
    <s v="Friday"/>
    <s v="Different"/>
    <n v="78.319999999999993"/>
    <n v="7"/>
    <n v="8.9376915219611858E-2"/>
    <n v="5"/>
    <d v="1899-12-30T17:40:00"/>
    <d v="1899-12-30T17:40:00"/>
    <d v="1899-12-30T00:00:00"/>
    <n v="0"/>
    <s v="984 Havenbrook Lane"/>
    <m/>
    <x v="0"/>
    <x v="0"/>
    <x v="0"/>
    <s v="Yes"/>
  </r>
  <r>
    <n v="822"/>
    <x v="119"/>
    <s v="Friday"/>
    <s v="Same"/>
    <n v="37.020000000000003"/>
    <n v="8.98"/>
    <n v="0.24257158292814693"/>
    <n v="5"/>
    <d v="1899-12-30T17:52:00"/>
    <d v="1899-12-30T18:28:00"/>
    <d v="1899-12-30T00:36:00"/>
    <n v="36"/>
    <s v="15269 Forest Haven Lane"/>
    <m/>
    <x v="0"/>
    <x v="0"/>
    <x v="0"/>
    <s v="No"/>
  </r>
  <r>
    <n v="823"/>
    <x v="119"/>
    <s v="Friday"/>
    <s v="Same"/>
    <n v="49.09"/>
    <n v="10.91"/>
    <n v="0.22224485638622937"/>
    <n v="7"/>
    <d v="1899-12-30T18:43:00"/>
    <d v="1899-12-30T19:35:00"/>
    <d v="1899-12-30T00:52:00"/>
    <n v="52"/>
    <s v="6204 Southwind Lane"/>
    <m/>
    <x v="5"/>
    <x v="0"/>
    <x v="0"/>
    <s v="No"/>
  </r>
  <r>
    <n v="824"/>
    <x v="119"/>
    <s v="Friday"/>
    <s v="Same"/>
    <n v="48.01"/>
    <n v="6"/>
    <n v="0.12497396375755052"/>
    <n v="7"/>
    <d v="1899-12-30T18:51:00"/>
    <d v="1899-12-30T19:50:00"/>
    <d v="1899-12-30T00:59:00"/>
    <n v="59"/>
    <s v="10259 Drawbridge Drive"/>
    <m/>
    <x v="0"/>
    <x v="0"/>
    <x v="0"/>
    <s v="No"/>
  </r>
  <r>
    <n v="825"/>
    <x v="119"/>
    <s v="Friday"/>
    <s v="Same"/>
    <n v="29.77"/>
    <n v="8"/>
    <n v="0.26872690628149143"/>
    <n v="1.5"/>
    <d v="1899-12-30T18:58:00"/>
    <d v="1899-12-30T20:04:00"/>
    <d v="1899-12-30T01:06:00"/>
    <n v="66"/>
    <s v="7721 Kings Ridge Road"/>
    <m/>
    <x v="0"/>
    <x v="0"/>
    <x v="0"/>
    <s v="No"/>
  </r>
  <r>
    <n v="826"/>
    <x v="120"/>
    <s v="Saturday"/>
    <s v="Different"/>
    <n v="31.07"/>
    <n v="4"/>
    <n v="0.12874155133569359"/>
    <n v="1.5"/>
    <d v="1899-12-30T17:06:00"/>
    <d v="1899-12-30T17:37:00"/>
    <d v="1899-12-30T00:31:00"/>
    <n v="31.000000000000004"/>
    <s v="6708 Vista Trail"/>
    <m/>
    <x v="2"/>
    <x v="0"/>
    <x v="0"/>
    <s v="No"/>
  </r>
  <r>
    <n v="827"/>
    <x v="120"/>
    <s v="Saturday"/>
    <s v="Same"/>
    <n v="35.4"/>
    <n v="2"/>
    <n v="5.6497175141242938E-2"/>
    <n v="1.5"/>
    <d v="1899-12-30T17:56:00"/>
    <d v="1899-12-30T18:25:00"/>
    <d v="1899-12-30T00:29:00"/>
    <n v="29.000000000000004"/>
    <s v="14686 Alstone Drive"/>
    <m/>
    <x v="0"/>
    <x v="0"/>
    <x v="0"/>
    <s v="No"/>
  </r>
  <r>
    <n v="828"/>
    <x v="120"/>
    <s v="Saturday"/>
    <s v="Same"/>
    <n v="27.6"/>
    <n v="5"/>
    <n v="0.18115942028985507"/>
    <n v="1.5"/>
    <d v="1899-12-30T18:45:00"/>
    <d v="1899-12-30T19:22:00"/>
    <d v="1899-12-30T00:37:00"/>
    <n v="37"/>
    <s v="5773 Cedar Grove Circle"/>
    <m/>
    <x v="2"/>
    <x v="0"/>
    <x v="0"/>
    <s v="No"/>
  </r>
  <r>
    <n v="829"/>
    <x v="120"/>
    <s v="Saturday"/>
    <s v="Same"/>
    <n v="44.92"/>
    <n v="10"/>
    <n v="0.22261798753339268"/>
    <n v="5"/>
    <d v="1899-12-30T18:46:00"/>
    <d v="1899-12-30T19:39:00"/>
    <d v="1899-12-30T00:53:00"/>
    <n v="53"/>
    <s v="8105 Alderwood Drive"/>
    <m/>
    <x v="2"/>
    <x v="0"/>
    <x v="0"/>
    <s v="No"/>
  </r>
  <r>
    <n v="830"/>
    <x v="120"/>
    <s v="Saturday"/>
    <s v="Same"/>
    <n v="14.88"/>
    <n v="1"/>
    <n v="6.7204301075268813E-2"/>
    <n v="1.5"/>
    <d v="1899-12-30T18:57:00"/>
    <d v="1899-12-30T19:50:00"/>
    <d v="1899-12-30T00:53:00"/>
    <n v="53"/>
    <s v="4656 Perthshire Court"/>
    <m/>
    <x v="2"/>
    <x v="0"/>
    <x v="0"/>
    <s v="No"/>
  </r>
  <r>
    <n v="831"/>
    <x v="120"/>
    <s v="Saturday"/>
    <s v="Same"/>
    <n v="56.99"/>
    <n v="13.01"/>
    <n v="0.22828566415160553"/>
    <n v="1.5"/>
    <d v="1899-12-30T20:15:00"/>
    <d v="1899-12-30T20:42:00"/>
    <d v="1899-12-30T00:27:00"/>
    <n v="26.999999999999996"/>
    <s v="6142 Cove Creek Lane"/>
    <m/>
    <x v="0"/>
    <x v="2"/>
    <x v="0"/>
    <s v="No"/>
  </r>
  <r>
    <n v="832"/>
    <x v="120"/>
    <s v="Saturday"/>
    <s v="Same"/>
    <n v="39.46"/>
    <n v="13"/>
    <n v="0.3294475418144957"/>
    <n v="1.5"/>
    <d v="1899-12-30T20:02:00"/>
    <d v="1899-12-30T20:48:00"/>
    <d v="1899-12-30T00:46:00"/>
    <n v="46.000000000000007"/>
    <s v="6030 Dripping Springs Drive"/>
    <m/>
    <x v="0"/>
    <x v="2"/>
    <x v="0"/>
    <s v="No"/>
  </r>
  <r>
    <n v="833"/>
    <x v="120"/>
    <s v="Saturday"/>
    <s v="Same"/>
    <n v="31.93"/>
    <n v="6"/>
    <n v="0.18791105543376135"/>
    <n v="5"/>
    <d v="1899-12-30T20:07:00"/>
    <d v="1899-12-30T21:02:00"/>
    <d v="1899-12-30T00:55:00"/>
    <n v="54.999999999999993"/>
    <s v="10086 Western Hills Drive"/>
    <m/>
    <x v="0"/>
    <x v="0"/>
    <x v="0"/>
    <s v="No"/>
  </r>
  <r>
    <n v="834"/>
    <x v="120"/>
    <s v="Saturday"/>
    <s v="Same"/>
    <n v="38.369999999999997"/>
    <n v="6"/>
    <n v="0.15637216575449572"/>
    <n v="5"/>
    <d v="1899-12-30T20:20:00"/>
    <d v="1899-12-30T21:13:00"/>
    <d v="1899-12-30T00:53:00"/>
    <n v="53"/>
    <s v="6466 Chimney Peak Lane"/>
    <m/>
    <x v="0"/>
    <x v="0"/>
    <x v="0"/>
    <s v="No"/>
  </r>
  <r>
    <n v="835"/>
    <x v="121"/>
    <s v="Sunday"/>
    <s v="Different"/>
    <n v="30.85"/>
    <n v="4"/>
    <n v="0.12965964343598055"/>
    <n v="1.5"/>
    <d v="1899-12-30T16:38:00"/>
    <d v="1899-12-30T17:08:00"/>
    <d v="1899-12-30T00:30:00"/>
    <n v="30"/>
    <s v="8025 Ohio Drive"/>
    <n v="11207"/>
    <x v="2"/>
    <x v="0"/>
    <x v="1"/>
    <s v="No"/>
  </r>
  <r>
    <n v="836"/>
    <x v="121"/>
    <s v="Sunday"/>
    <s v="Same"/>
    <n v="17"/>
    <n v="7"/>
    <n v="0.41176470588235292"/>
    <n v="1.5"/>
    <d v="1899-12-30T17:09:00"/>
    <d v="1899-12-30T17:37:00"/>
    <d v="1899-12-30T00:28:00"/>
    <n v="28"/>
    <s v="11399 Pear Ridge Drive"/>
    <m/>
    <x v="0"/>
    <x v="0"/>
    <x v="0"/>
    <s v="No"/>
  </r>
  <r>
    <n v="837"/>
    <x v="121"/>
    <s v="Sunday"/>
    <s v="Same"/>
    <n v="37.020000000000003"/>
    <n v="6"/>
    <n v="0.16207455429497566"/>
    <n v="1.5"/>
    <d v="1899-12-30T18:10:00"/>
    <d v="1899-12-30T18:41:00"/>
    <d v="1899-12-30T00:31:00"/>
    <n v="31.000000000000004"/>
    <s v="8401 Memorial Lane"/>
    <n v="9315"/>
    <x v="2"/>
    <x v="0"/>
    <x v="1"/>
    <s v="No"/>
  </r>
  <r>
    <n v="838"/>
    <x v="121"/>
    <s v="Sunday"/>
    <s v="Same"/>
    <n v="44"/>
    <n v="7"/>
    <n v="0.15909090909090909"/>
    <n v="1.5"/>
    <d v="1899-12-30T18:13:00"/>
    <d v="1899-12-30T18:53:00"/>
    <d v="1899-12-30T00:40:00"/>
    <n v="40"/>
    <s v="4577 Staten Island Court"/>
    <m/>
    <x v="2"/>
    <x v="0"/>
    <x v="0"/>
    <s v="No"/>
  </r>
  <r>
    <n v="839"/>
    <x v="121"/>
    <s v="Sunday"/>
    <s v="Same"/>
    <n v="35.72"/>
    <n v="4"/>
    <n v="0.11198208286674133"/>
    <n v="1.5"/>
    <d v="1899-12-30T19:17:00"/>
    <d v="1899-12-30T19:46:00"/>
    <d v="1899-12-30T00:29:00"/>
    <n v="29.000000000000004"/>
    <s v="3512 Burnet Drive"/>
    <m/>
    <x v="2"/>
    <x v="0"/>
    <x v="0"/>
    <s v="No"/>
  </r>
  <r>
    <n v="840"/>
    <x v="121"/>
    <s v="Sunday"/>
    <s v="Same"/>
    <n v="31.92"/>
    <n v="8"/>
    <n v="0.25062656641604009"/>
    <n v="1.5"/>
    <d v="1899-12-30T19:12:00"/>
    <d v="1899-12-30T20:04:00"/>
    <d v="1899-12-30T00:52:00"/>
    <n v="52"/>
    <s v="8025 Ohio Drive"/>
    <n v="7209"/>
    <x v="2"/>
    <x v="0"/>
    <x v="1"/>
    <s v="No"/>
  </r>
  <r>
    <n v="841"/>
    <x v="121"/>
    <s v="Sunday"/>
    <s v="Same"/>
    <n v="20.03"/>
    <n v="7.97"/>
    <n v="0.39790314528207688"/>
    <n v="1.5"/>
    <d v="1899-12-30T19:53:00"/>
    <d v="1899-12-30T20:35:00"/>
    <d v="1899-12-30T00:42:00"/>
    <n v="42"/>
    <s v="2875 Parkwood Blvd"/>
    <m/>
    <x v="0"/>
    <x v="0"/>
    <x v="2"/>
    <s v="No"/>
  </r>
  <r>
    <n v="842"/>
    <x v="121"/>
    <s v="Sunday"/>
    <s v="Same"/>
    <n v="53.31"/>
    <n v="1.69"/>
    <n v="3.1701369349090222E-2"/>
    <n v="1.5"/>
    <d v="1899-12-30T19:52:00"/>
    <d v="1899-12-30T20:35:00"/>
    <d v="1899-12-30T00:43:00"/>
    <n v="43"/>
    <s v="2875 Parkwood Blvd"/>
    <m/>
    <x v="0"/>
    <x v="0"/>
    <x v="2"/>
    <s v="No"/>
  </r>
  <r>
    <n v="843"/>
    <x v="121"/>
    <s v="Sunday"/>
    <s v="Same"/>
    <n v="16.78"/>
    <n v="3"/>
    <n v="0.17878426698450536"/>
    <n v="1.5"/>
    <d v="1899-12-30T19:54:00"/>
    <d v="1899-12-30T20:35:00"/>
    <d v="1899-12-30T00:41:00"/>
    <n v="41"/>
    <s v="2875 Parkwood Blvd"/>
    <m/>
    <x v="0"/>
    <x v="0"/>
    <x v="2"/>
    <s v="No"/>
  </r>
  <r>
    <n v="844"/>
    <x v="121"/>
    <s v="Sunday"/>
    <s v="Same"/>
    <n v="49.42"/>
    <n v="4"/>
    <n v="8.0938891137191424E-2"/>
    <n v="1.5"/>
    <d v="1899-12-30T19:56:00"/>
    <d v="1899-12-30T20:45:00"/>
    <d v="1899-12-30T00:49:00"/>
    <n v="49"/>
    <s v="2880 Dallas Parkway"/>
    <n v="625"/>
    <x v="0"/>
    <x v="0"/>
    <x v="2"/>
    <s v="No"/>
  </r>
  <r>
    <n v="845"/>
    <x v="121"/>
    <s v="Sunday"/>
    <s v="Same"/>
    <n v="25.93"/>
    <n v="5"/>
    <n v="0.1928268414963363"/>
    <n v="1.5"/>
    <d v="1899-12-30T20:09:00"/>
    <d v="1899-12-30T21:03:00"/>
    <d v="1899-12-30T00:54:00"/>
    <n v="53.999999999999993"/>
    <s v="9688 Wyndbrook Drive"/>
    <m/>
    <x v="0"/>
    <x v="0"/>
    <x v="0"/>
    <s v="No"/>
  </r>
  <r>
    <n v="846"/>
    <x v="122"/>
    <s v="Saturday"/>
    <s v="Different"/>
    <n v="40.54"/>
    <n v="5"/>
    <n v="0.123334977799704"/>
    <n v="1.5"/>
    <d v="1899-12-30T17:05:00"/>
    <d v="1899-12-30T17:31:00"/>
    <d v="1899-12-30T00:26:00"/>
    <n v="26"/>
    <s v="6928 Grand Hollow Drive"/>
    <m/>
    <x v="2"/>
    <x v="0"/>
    <x v="0"/>
    <s v="No"/>
  </r>
  <r>
    <n v="847"/>
    <x v="122"/>
    <s v="Saturday"/>
    <s v="Same"/>
    <n v="85.4"/>
    <n v="10"/>
    <n v="0.11709601873536299"/>
    <n v="1.5"/>
    <d v="1899-12-30T18:22:00"/>
    <d v="1899-12-30T18:56:00"/>
    <d v="1899-12-30T00:34:00"/>
    <n v="34"/>
    <s v="4108 River Branch Trail"/>
    <m/>
    <x v="2"/>
    <x v="0"/>
    <x v="0"/>
    <s v="No"/>
  </r>
  <r>
    <n v="848"/>
    <x v="122"/>
    <s v="Saturday"/>
    <s v="Same"/>
    <n v="98.13"/>
    <n v="18"/>
    <n v="0.18343014368694591"/>
    <n v="1.5"/>
    <d v="1899-12-30T18:26:00"/>
    <d v="1899-12-30T19:01:00"/>
    <d v="1899-12-30T00:35:00"/>
    <n v="35"/>
    <s v="4304 Benton Elm Drive"/>
    <m/>
    <x v="2"/>
    <x v="0"/>
    <x v="0"/>
    <s v="No"/>
  </r>
  <r>
    <n v="849"/>
    <x v="122"/>
    <s v="Saturday"/>
    <s v="Same"/>
    <n v="15.7"/>
    <n v="4.3"/>
    <n v="0.27388535031847133"/>
    <n v="1.5"/>
    <d v="1899-12-30T18:47:00"/>
    <d v="1899-12-30T19:30:00"/>
    <d v="1899-12-30T00:43:00"/>
    <n v="43"/>
    <s v="10702 Blue Bay Drive"/>
    <m/>
    <x v="0"/>
    <x v="0"/>
    <x v="0"/>
    <s v="No"/>
  </r>
  <r>
    <n v="850"/>
    <x v="122"/>
    <s v="Saturday"/>
    <s v="Same"/>
    <n v="53.26"/>
    <n v="10"/>
    <n v="0.1877581674802854"/>
    <n v="1.5"/>
    <d v="1899-12-30T18:48:00"/>
    <d v="1899-12-30T19:45:00"/>
    <d v="1899-12-30T00:57:00"/>
    <n v="57"/>
    <s v="14067 Cary Lane"/>
    <m/>
    <x v="0"/>
    <x v="0"/>
    <x v="0"/>
    <s v="No"/>
  </r>
  <r>
    <n v="851"/>
    <x v="122"/>
    <s v="Saturday"/>
    <s v="Same"/>
    <n v="22.68"/>
    <n v="4"/>
    <n v="0.17636684303350969"/>
    <n v="1.5"/>
    <d v="1899-12-30T19:50:00"/>
    <d v="1899-12-30T20:15:00"/>
    <d v="1899-12-30T00:25:00"/>
    <n v="25"/>
    <s v="2080 Mason Drive"/>
    <m/>
    <x v="0"/>
    <x v="0"/>
    <x v="0"/>
    <s v="No"/>
  </r>
  <r>
    <n v="852"/>
    <x v="122"/>
    <s v="Saturday"/>
    <s v="Same"/>
    <n v="33.56"/>
    <n v="3"/>
    <n v="8.9392133492252682E-2"/>
    <n v="5"/>
    <d v="1899-12-30T20:09:00"/>
    <d v="1899-12-30T20:55:00"/>
    <d v="1899-12-30T00:46:00"/>
    <n v="46.000000000000007"/>
    <s v="2901 Ridgeview Drive"/>
    <n v="2214"/>
    <x v="2"/>
    <x v="0"/>
    <x v="1"/>
    <s v="No"/>
  </r>
  <r>
    <n v="853"/>
    <x v="123"/>
    <s v="Sunday"/>
    <s v="Different"/>
    <n v="38.369999999999997"/>
    <n v="4"/>
    <n v="0.10424811050299713"/>
    <n v="1.5"/>
    <d v="1899-12-30T17:54:00"/>
    <d v="1899-12-30T18:15:00"/>
    <d v="1899-12-30T00:21:00"/>
    <n v="21"/>
    <s v="8101 Memorial Lane"/>
    <n v="2822"/>
    <x v="2"/>
    <x v="0"/>
    <x v="1"/>
    <s v="No"/>
  </r>
  <r>
    <n v="854"/>
    <x v="123"/>
    <s v="Sunday"/>
    <s v="Same"/>
    <n v="29.17"/>
    <n v="3"/>
    <n v="0.10284538909838875"/>
    <n v="1.5"/>
    <d v="1899-12-30T17:58:00"/>
    <d v="1899-12-30T18:30:00"/>
    <d v="1899-12-30T00:32:00"/>
    <n v="32"/>
    <s v="3229 Edwards Drive"/>
    <m/>
    <x v="2"/>
    <x v="0"/>
    <x v="0"/>
    <s v="No"/>
  </r>
  <r>
    <n v="855"/>
    <x v="123"/>
    <s v="Sunday"/>
    <s v="Same"/>
    <n v="47.79"/>
    <n v="6"/>
    <n v="0.12554927809165098"/>
    <n v="1.5"/>
    <d v="1899-12-30T18:45:00"/>
    <d v="1899-12-30T19:35:00"/>
    <d v="1899-12-30T00:50:00"/>
    <n v="50"/>
    <s v="8737 Manhattan Avenue"/>
    <m/>
    <x v="2"/>
    <x v="0"/>
    <x v="0"/>
    <s v="No"/>
  </r>
  <r>
    <n v="856"/>
    <x v="123"/>
    <s v="Sunday"/>
    <s v="Same"/>
    <n v="81.95"/>
    <n v="8.0500000000000007"/>
    <n v="9.8230628431970723E-2"/>
    <n v="5"/>
    <d v="1899-12-30T18:54:00"/>
    <d v="1899-12-30T19:54:00"/>
    <d v="1899-12-30T01:00:00"/>
    <n v="60"/>
    <s v="9919 Carriage Hill Lane"/>
    <m/>
    <x v="0"/>
    <x v="0"/>
    <x v="0"/>
    <s v="No"/>
  </r>
  <r>
    <n v="857"/>
    <x v="123"/>
    <s v="Sunday"/>
    <s v="Same"/>
    <n v="51.04"/>
    <n v="12"/>
    <n v="0.23510971786833856"/>
    <n v="5"/>
    <d v="1899-12-30T19:01:00"/>
    <d v="1899-12-30T20:09:00"/>
    <d v="1899-12-30T01:08:00"/>
    <n v="68"/>
    <s v="15151 Woodbluff Drive"/>
    <m/>
    <x v="0"/>
    <x v="0"/>
    <x v="0"/>
    <s v="No"/>
  </r>
  <r>
    <n v="858"/>
    <x v="124"/>
    <s v="Friday"/>
    <s v="Different"/>
    <n v="32.42"/>
    <n v="8"/>
    <n v="0.24676125848241826"/>
    <n v="1.5"/>
    <d v="1899-12-30T17:47:00"/>
    <d v="1899-12-30T18:40:00"/>
    <d v="1899-12-30T00:53:00"/>
    <n v="53"/>
    <s v="9700 Presthope Drive"/>
    <m/>
    <x v="0"/>
    <x v="0"/>
    <x v="0"/>
    <s v="No"/>
  </r>
  <r>
    <n v="859"/>
    <x v="124"/>
    <s v="Friday"/>
    <s v="Same"/>
    <n v="62.19"/>
    <n v="20"/>
    <n v="0.32159511175430133"/>
    <n v="1.5"/>
    <d v="1899-12-30T17:57:00"/>
    <d v="1899-12-30T18:47:00"/>
    <d v="1899-12-30T00:50:00"/>
    <n v="50"/>
    <s v="11405 Sunrise Lane"/>
    <m/>
    <x v="0"/>
    <x v="0"/>
    <x v="0"/>
    <s v="No"/>
  </r>
  <r>
    <n v="860"/>
    <x v="124"/>
    <s v="Friday"/>
    <s v="Same"/>
    <n v="57.59"/>
    <n v="5"/>
    <n v="8.6820628581350923E-2"/>
    <n v="1.5"/>
    <d v="1899-12-30T18:00:00"/>
    <d v="1899-12-30T18:54:00"/>
    <d v="1899-12-30T00:54:00"/>
    <n v="53.999999999999993"/>
    <s v="10609 Birmingham Drive"/>
    <m/>
    <x v="0"/>
    <x v="0"/>
    <x v="0"/>
    <s v="No"/>
  </r>
  <r>
    <n v="861"/>
    <x v="124"/>
    <s v="Friday"/>
    <s v="Same"/>
    <n v="65.489999999999995"/>
    <n v="12.51"/>
    <n v="0.19102153000458086"/>
    <n v="5"/>
    <d v="1899-12-30T17:59:00"/>
    <d v="1899-12-30T19:11:00"/>
    <d v="1899-12-30T01:12:00"/>
    <n v="72"/>
    <s v="6204 Southwind Lane"/>
    <m/>
    <x v="5"/>
    <x v="0"/>
    <x v="0"/>
    <s v="No"/>
  </r>
  <r>
    <n v="862"/>
    <x v="124"/>
    <s v="Friday"/>
    <s v="Same"/>
    <n v="36.14"/>
    <n v="4"/>
    <n v="0.11068068622025456"/>
    <n v="1.5"/>
    <d v="1899-12-30T19:06:00"/>
    <d v="1899-12-30T19:50:00"/>
    <d v="1899-12-30T00:44:00"/>
    <n v="44"/>
    <s v="3205 Mason Drive"/>
    <m/>
    <x v="2"/>
    <x v="0"/>
    <x v="0"/>
    <s v="No"/>
  </r>
  <r>
    <n v="863"/>
    <x v="125"/>
    <s v="Sunday"/>
    <s v="Different"/>
    <n v="35.94"/>
    <n v="12"/>
    <n v="0.333889816360601"/>
    <n v="1.5"/>
    <d v="1899-12-30T17:21:00"/>
    <d v="1899-12-30T18:08:00"/>
    <d v="1899-12-30T00:47:00"/>
    <n v="47.000000000000007"/>
    <s v="4440 Hearthstone Drive"/>
    <m/>
    <x v="0"/>
    <x v="0"/>
    <x v="0"/>
    <s v="No"/>
  </r>
  <r>
    <n v="864"/>
    <x v="125"/>
    <s v="Sunday"/>
    <s v="Same"/>
    <n v="88.39"/>
    <n v="9"/>
    <n v="0.10182147301730965"/>
    <n v="1.5"/>
    <d v="1899-12-30T17:28:00"/>
    <d v="1899-12-30T18:23:00"/>
    <d v="1899-12-30T00:55:00"/>
    <n v="54.999999999999993"/>
    <s v="6316 Caroline Drive"/>
    <m/>
    <x v="0"/>
    <x v="2"/>
    <x v="0"/>
    <s v="No"/>
  </r>
  <r>
    <n v="865"/>
    <x v="125"/>
    <s v="Sunday"/>
    <s v="Same"/>
    <n v="27.01"/>
    <n v="5"/>
    <n v="0.18511662347278784"/>
    <n v="1.5"/>
    <d v="1899-12-30T18:16:00"/>
    <d v="1899-12-30T18:53:00"/>
    <d v="1899-12-30T00:37:00"/>
    <n v="37"/>
    <s v="11066 Clearstream Lane"/>
    <m/>
    <x v="0"/>
    <x v="0"/>
    <x v="0"/>
    <s v="No"/>
  </r>
  <r>
    <n v="866"/>
    <x v="125"/>
    <s v="Sunday"/>
    <s v="Same"/>
    <n v="22.41"/>
    <n v="5"/>
    <n v="0.22311468094600626"/>
    <n v="1.5"/>
    <d v="1899-12-30T18:09:00"/>
    <d v="1899-12-30T18:58:00"/>
    <d v="1899-12-30T00:49:00"/>
    <n v="49"/>
    <s v="4388 Argyle Lane"/>
    <m/>
    <x v="0"/>
    <x v="0"/>
    <x v="0"/>
    <s v="No"/>
  </r>
  <r>
    <n v="867"/>
    <x v="125"/>
    <s v="Sunday"/>
    <s v="Same"/>
    <n v="31.88"/>
    <n v="5.12"/>
    <n v="0.16060225846925974"/>
    <n v="1.5"/>
    <d v="1899-12-30T19:26:00"/>
    <d v="1899-12-30T20:06:00"/>
    <d v="1899-12-30T00:40:00"/>
    <n v="40"/>
    <s v="4310 Washburne Drive"/>
    <n v="201"/>
    <x v="0"/>
    <x v="0"/>
    <x v="1"/>
    <s v="No"/>
  </r>
  <r>
    <n v="868"/>
    <x v="126"/>
    <s v="Friday"/>
    <s v="Different"/>
    <n v="20.57"/>
    <n v="1.43"/>
    <n v="6.9518716577540107E-2"/>
    <n v="1.5"/>
    <d v="1899-12-30T17:24:00"/>
    <d v="1899-12-30T18:00:00"/>
    <d v="1899-12-30T00:36:00"/>
    <n v="36"/>
    <s v="8201 Preston Road"/>
    <m/>
    <x v="2"/>
    <x v="0"/>
    <x v="2"/>
    <s v="No"/>
  </r>
  <r>
    <n v="869"/>
    <x v="126"/>
    <s v="Friday"/>
    <s v="Same"/>
    <n v="21.33"/>
    <n v="7"/>
    <n v="0.3281762775433662"/>
    <n v="1.5"/>
    <d v="1899-12-30T17:24:00"/>
    <d v="1899-12-30T18:16:00"/>
    <d v="1899-12-30T00:52:00"/>
    <n v="52"/>
    <s v="3512 Mount Vernon Way"/>
    <m/>
    <x v="2"/>
    <x v="0"/>
    <x v="0"/>
    <s v="No"/>
  </r>
  <r>
    <n v="870"/>
    <x v="126"/>
    <s v="Friday"/>
    <s v="Same"/>
    <n v="42.98"/>
    <n v="5"/>
    <n v="0.11633317822242904"/>
    <n v="5"/>
    <d v="1899-12-30T17:43:00"/>
    <d v="1899-12-30T18:32:00"/>
    <d v="1899-12-30T00:49:00"/>
    <n v="49"/>
    <s v="1614 Singing Water Drive"/>
    <m/>
    <x v="6"/>
    <x v="0"/>
    <x v="0"/>
    <s v="No"/>
  </r>
  <r>
    <n v="871"/>
    <x v="126"/>
    <s v="Friday"/>
    <s v="Same"/>
    <n v="20.57"/>
    <n v="3"/>
    <n v="0.14584346135148274"/>
    <n v="1.5"/>
    <d v="1899-12-30T18:39:00"/>
    <d v="1899-12-30T19:17:00"/>
    <d v="1899-12-30T00:38:00"/>
    <n v="38"/>
    <s v="11715 Alexandria Drive"/>
    <m/>
    <x v="0"/>
    <x v="0"/>
    <x v="0"/>
    <s v="No"/>
  </r>
  <r>
    <n v="872"/>
    <x v="126"/>
    <s v="Friday"/>
    <s v="Same"/>
    <n v="30.26"/>
    <n v="3.74"/>
    <n v="0.12359550561797752"/>
    <n v="1.5"/>
    <d v="1899-12-30T19:26:00"/>
    <d v="1899-12-30T20:08:00"/>
    <d v="1899-12-30T00:42:00"/>
    <n v="42"/>
    <s v="105 Myers Avenue"/>
    <n v="105"/>
    <x v="0"/>
    <x v="0"/>
    <x v="1"/>
    <s v="No"/>
  </r>
  <r>
    <n v="873"/>
    <x v="126"/>
    <s v="Friday"/>
    <s v="Same"/>
    <n v="37.51"/>
    <n v="7"/>
    <n v="0.18661690215942417"/>
    <n v="1.5"/>
    <d v="1899-12-30T19:45:00"/>
    <d v="1899-12-30T20:25:00"/>
    <d v="1899-12-30T00:40:00"/>
    <n v="40"/>
    <s v="6 Southern Hills Court"/>
    <m/>
    <x v="0"/>
    <x v="1"/>
    <x v="0"/>
    <s v="No"/>
  </r>
  <r>
    <n v="874"/>
    <x v="126"/>
    <s v="Friday"/>
    <s v="Same"/>
    <n v="37.35"/>
    <n v="5"/>
    <n v="0.13386880856760375"/>
    <n v="1.5"/>
    <d v="1899-12-30T20:36:00"/>
    <d v="1899-12-30T21:00:00"/>
    <d v="1899-12-30T00:24:00"/>
    <n v="24"/>
    <s v="7600 John Q Hammons Blvd"/>
    <m/>
    <x v="0"/>
    <x v="0"/>
    <x v="2"/>
    <s v="No"/>
  </r>
  <r>
    <n v="875"/>
    <x v="126"/>
    <s v="Friday"/>
    <s v="Same"/>
    <n v="22.68"/>
    <n v="5"/>
    <n v="0.22045855379188714"/>
    <n v="5"/>
    <d v="1899-12-30T20:26:00"/>
    <d v="1899-12-30T21:18:00"/>
    <d v="1899-12-30T00:52:00"/>
    <n v="52"/>
    <s v="9751 Carriage Hill Lane"/>
    <m/>
    <x v="0"/>
    <x v="0"/>
    <x v="0"/>
    <s v="No"/>
  </r>
  <r>
    <n v="876"/>
    <x v="126"/>
    <s v="Friday"/>
    <s v="Same"/>
    <n v="55.05"/>
    <n v="5"/>
    <n v="9.0826521344232525E-2"/>
    <n v="1.5"/>
    <d v="1899-12-30T20:31:00"/>
    <d v="1899-12-30T21:31:00"/>
    <d v="1899-12-30T01:00:00"/>
    <n v="60"/>
    <s v="7606 Cordova Drive"/>
    <m/>
    <x v="0"/>
    <x v="0"/>
    <x v="0"/>
    <s v="No"/>
  </r>
  <r>
    <n v="877"/>
    <x v="127"/>
    <s v="Saturday"/>
    <s v="Different"/>
    <n v="30.53"/>
    <n v="5"/>
    <n v="0.16377333770062233"/>
    <n v="1.5"/>
    <d v="1899-12-30T17:30:00"/>
    <d v="1899-12-30T17:30:00"/>
    <d v="1899-12-30T00:00:00"/>
    <n v="0"/>
    <s v="4607 Haverford Drive"/>
    <m/>
    <x v="0"/>
    <x v="0"/>
    <x v="0"/>
    <s v="Yes"/>
  </r>
  <r>
    <n v="878"/>
    <x v="127"/>
    <s v="Saturday"/>
    <s v="Same"/>
    <n v="13.53"/>
    <n v="5"/>
    <n v="0.36954915003695493"/>
    <n v="1.5"/>
    <d v="1899-12-30T18:15:00"/>
    <d v="1899-12-30T18:54:00"/>
    <d v="1899-12-30T00:39:00"/>
    <n v="39"/>
    <s v="7255 Texas Ranger Drive"/>
    <n v="1313"/>
    <x v="0"/>
    <x v="0"/>
    <x v="1"/>
    <s v="No"/>
  </r>
  <r>
    <n v="879"/>
    <x v="127"/>
    <s v="Saturday"/>
    <s v="Same"/>
    <n v="41.08"/>
    <n v="8"/>
    <n v="0.19474196689386564"/>
    <n v="5"/>
    <d v="1899-12-30T18:28:00"/>
    <d v="1899-12-30T19:14:00"/>
    <d v="1899-12-30T00:46:00"/>
    <n v="46.000000000000007"/>
    <s v="9740 North County Road"/>
    <m/>
    <x v="0"/>
    <x v="0"/>
    <x v="0"/>
    <s v="No"/>
  </r>
  <r>
    <n v="880"/>
    <x v="127"/>
    <s v="Saturday"/>
    <s v="Same"/>
    <n v="39.67"/>
    <n v="10"/>
    <n v="0.25207965717166625"/>
    <n v="5"/>
    <d v="1899-12-30T19:22:00"/>
    <d v="1899-12-30T20:04:00"/>
    <d v="1899-12-30T00:42:00"/>
    <n v="42"/>
    <s v="9204 Longview Drive"/>
    <m/>
    <x v="2"/>
    <x v="0"/>
    <x v="0"/>
    <s v="No"/>
  </r>
  <r>
    <n v="881"/>
    <x v="128"/>
    <s v="Friday"/>
    <s v="Different"/>
    <n v="47.47"/>
    <n v="5"/>
    <n v="0.10532968190436065"/>
    <n v="1.5"/>
    <d v="1899-12-30T16:47:00"/>
    <d v="1899-12-30T17:15:00"/>
    <d v="1899-12-30T00:28:00"/>
    <n v="28"/>
    <s v="5821 Red Wolf Lane"/>
    <m/>
    <x v="2"/>
    <x v="0"/>
    <x v="0"/>
    <s v="No"/>
  </r>
  <r>
    <n v="882"/>
    <x v="128"/>
    <s v="Friday"/>
    <s v="Same"/>
    <n v="67.92"/>
    <n v="6"/>
    <n v="8.8339222614840993E-2"/>
    <n v="7"/>
    <d v="1899-12-30T18:12:00"/>
    <d v="1899-12-30T19:08:00"/>
    <d v="1899-12-30T00:56:00"/>
    <n v="56"/>
    <s v="2707 Sir Bedivere Lane"/>
    <m/>
    <x v="3"/>
    <x v="0"/>
    <x v="0"/>
    <s v="No"/>
  </r>
  <r>
    <n v="883"/>
    <x v="128"/>
    <s v="Friday"/>
    <s v="Same"/>
    <n v="46.55"/>
    <n v="8"/>
    <n v="0.17185821697099893"/>
    <n v="1.5"/>
    <d v="1899-12-30T18:15:00"/>
    <d v="1899-12-30T19:18:00"/>
    <d v="1899-12-30T01:03:00"/>
    <n v="63"/>
    <s v="2220 Wimberly Way"/>
    <m/>
    <x v="4"/>
    <x v="0"/>
    <x v="0"/>
    <s v="No"/>
  </r>
  <r>
    <n v="884"/>
    <x v="128"/>
    <s v="Friday"/>
    <s v="Same"/>
    <n v="30.31"/>
    <n v="5"/>
    <n v="0.16496205872649292"/>
    <n v="1.5"/>
    <d v="1899-12-30T18:22:00"/>
    <d v="1899-12-30T19:28:00"/>
    <d v="1899-12-30T01:06:00"/>
    <n v="66"/>
    <s v="3312 Westwind Drive"/>
    <m/>
    <x v="2"/>
    <x v="0"/>
    <x v="0"/>
    <s v="No"/>
  </r>
  <r>
    <n v="885"/>
    <x v="128"/>
    <s v="Friday"/>
    <s v="Same"/>
    <n v="31.39"/>
    <n v="5"/>
    <n v="0.15928639694170119"/>
    <n v="1.5"/>
    <d v="1899-12-30T19:32:00"/>
    <d v="1899-12-30T20:08:00"/>
    <d v="1899-12-30T00:36:00"/>
    <n v="36"/>
    <s v="4552 Oak Shores Drive"/>
    <m/>
    <x v="2"/>
    <x v="0"/>
    <x v="0"/>
    <s v="No"/>
  </r>
  <r>
    <n v="886"/>
    <x v="128"/>
    <s v="Friday"/>
    <s v="Same"/>
    <n v="45.63"/>
    <n v="7"/>
    <n v="0.153407845715538"/>
    <n v="1.5"/>
    <d v="1899-12-30T19:31:00"/>
    <d v="1899-12-30T20:18:00"/>
    <d v="1899-12-30T00:47:00"/>
    <n v="47.000000000000007"/>
    <s v="3321 Estacado Lane"/>
    <m/>
    <x v="2"/>
    <x v="0"/>
    <x v="0"/>
    <s v="No"/>
  </r>
  <r>
    <n v="887"/>
    <x v="129"/>
    <s v="Saturday"/>
    <s v="Different"/>
    <n v="19.21"/>
    <n v="5"/>
    <n v="0.26028110359187923"/>
    <n v="1.5"/>
    <d v="1899-12-30T16:34:00"/>
    <d v="1899-12-30T16:58:00"/>
    <d v="1899-12-30T00:24:00"/>
    <n v="24"/>
    <s v="7660 TX-121"/>
    <m/>
    <x v="0"/>
    <x v="0"/>
    <x v="3"/>
    <s v="No"/>
  </r>
  <r>
    <n v="888"/>
    <x v="129"/>
    <s v="Saturday"/>
    <s v="Same"/>
    <n v="54.56"/>
    <n v="13.44"/>
    <n v="0.24633431085043986"/>
    <n v="1.5"/>
    <d v="1899-12-30T16:37:00"/>
    <d v="1899-12-30T17:05:00"/>
    <d v="1899-12-30T00:28:00"/>
    <n v="28"/>
    <s v="8054 Stone River Drive"/>
    <m/>
    <x v="0"/>
    <x v="0"/>
    <x v="0"/>
    <s v="No"/>
  </r>
  <r>
    <n v="889"/>
    <x v="129"/>
    <s v="Saturday"/>
    <s v="Same"/>
    <n v="38.049999999999997"/>
    <n v="7"/>
    <n v="0.18396846254927729"/>
    <n v="5"/>
    <d v="1899-12-30T18:19:00"/>
    <d v="1899-12-30T19:06:00"/>
    <d v="1899-12-30T00:47:00"/>
    <n v="47.000000000000007"/>
    <s v="4512 Cromwell Court"/>
    <m/>
    <x v="0"/>
    <x v="0"/>
    <x v="0"/>
    <s v="No"/>
  </r>
  <r>
    <n v="890"/>
    <x v="129"/>
    <s v="Saturday"/>
    <s v="Same"/>
    <n v="79.78"/>
    <n v="12"/>
    <n v="0.15041363750313361"/>
    <n v="5"/>
    <d v="1899-12-30T18:24:00"/>
    <d v="1899-12-30T19:10:00"/>
    <d v="1899-12-30T00:46:00"/>
    <n v="46.000000000000007"/>
    <s v="4570 The Landings Court"/>
    <m/>
    <x v="0"/>
    <x v="0"/>
    <x v="0"/>
    <s v="No"/>
  </r>
  <r>
    <n v="891"/>
    <x v="129"/>
    <s v="Saturday"/>
    <s v="Same"/>
    <n v="27.87"/>
    <n v="10"/>
    <n v="0.35880875493362036"/>
    <n v="5"/>
    <d v="1899-12-30T18:40:00"/>
    <d v="1899-12-30T19:18:00"/>
    <d v="1899-12-30T00:38:00"/>
    <n v="38"/>
    <s v="3740 Silver Oaks Lane"/>
    <m/>
    <x v="0"/>
    <x v="0"/>
    <x v="0"/>
    <s v="No"/>
  </r>
  <r>
    <n v="892"/>
    <x v="129"/>
    <s v="Saturday"/>
    <s v="Same"/>
    <n v="18.350000000000001"/>
    <n v="5"/>
    <n v="0.27247956403269752"/>
    <n v="1.5"/>
    <d v="1899-12-30T18:29:00"/>
    <d v="1899-12-30T19:30:00"/>
    <d v="1899-12-30T01:01:00"/>
    <n v="61"/>
    <s v="4672 Parma Lane"/>
    <m/>
    <x v="0"/>
    <x v="0"/>
    <x v="0"/>
    <s v="No"/>
  </r>
  <r>
    <n v="893"/>
    <x v="129"/>
    <s v="Saturday"/>
    <s v="Same"/>
    <n v="63.76"/>
    <n v="12"/>
    <n v="0.18820577164366376"/>
    <n v="1.5"/>
    <d v="1899-12-30T19:30:00"/>
    <d v="1899-12-30T19:59:00"/>
    <d v="1899-12-30T00:29:00"/>
    <n v="29.000000000000004"/>
    <s v="4409 Waskom Drive"/>
    <m/>
    <x v="2"/>
    <x v="0"/>
    <x v="0"/>
    <s v="No"/>
  </r>
  <r>
    <n v="894"/>
    <x v="129"/>
    <s v="Saturday"/>
    <s v="Same"/>
    <n v="71.77"/>
    <n v="14"/>
    <n v="0.19506757698202593"/>
    <n v="1.5"/>
    <d v="1899-12-30T19:30:00"/>
    <d v="1899-12-30T20:09:00"/>
    <d v="1899-12-30T00:39:00"/>
    <n v="39"/>
    <s v="3890 Preston Road"/>
    <m/>
    <x v="0"/>
    <x v="0"/>
    <x v="3"/>
    <s v="No"/>
  </r>
  <r>
    <n v="895"/>
    <x v="129"/>
    <s v="Saturday"/>
    <s v="Same"/>
    <n v="59.7"/>
    <n v="12"/>
    <n v="0.20100502512562812"/>
    <n v="5"/>
    <d v="1899-12-30T19:29:00"/>
    <d v="1899-12-30T20:20:00"/>
    <d v="1899-12-30T00:51:00"/>
    <n v="51"/>
    <s v="12150 Toscana Way"/>
    <m/>
    <x v="0"/>
    <x v="0"/>
    <x v="0"/>
    <s v="No"/>
  </r>
  <r>
    <n v="896"/>
    <x v="129"/>
    <s v="Saturday"/>
    <s v="Same"/>
    <n v="29.77"/>
    <n v="5"/>
    <n v="0.16795431642593214"/>
    <n v="1.5"/>
    <d v="1899-12-30T20:22:00"/>
    <d v="1899-12-30T20:55:00"/>
    <d v="1899-12-30T00:33:00"/>
    <n v="33"/>
    <s v="6901 Hansell Road"/>
    <n v="6310"/>
    <x v="2"/>
    <x v="0"/>
    <x v="1"/>
    <s v="No"/>
  </r>
  <r>
    <n v="897"/>
    <x v="129"/>
    <s v="Saturday"/>
    <s v="Same"/>
    <n v="41.08"/>
    <n v="3.92"/>
    <n v="9.5423563777994158E-2"/>
    <n v="1.5"/>
    <d v="1899-12-30T20:39:00"/>
    <d v="1899-12-30T21:25:00"/>
    <d v="1899-12-30T00:46:00"/>
    <n v="46.000000000000007"/>
    <s v="9400 Wade Blvd"/>
    <n v="1918"/>
    <x v="0"/>
    <x v="0"/>
    <x v="1"/>
    <s v="No"/>
  </r>
  <r>
    <n v="898"/>
    <x v="129"/>
    <s v="Saturday"/>
    <s v="Same"/>
    <n v="22.14"/>
    <n v="2"/>
    <n v="9.0334236675700091E-2"/>
    <n v="1.5"/>
    <d v="1899-12-30T20:43:00"/>
    <d v="1899-12-30T21:38:00"/>
    <d v="1899-12-30T00:55:00"/>
    <n v="54.999999999999993"/>
    <s v="5995 Orchard Park Drive"/>
    <m/>
    <x v="0"/>
    <x v="2"/>
    <x v="0"/>
    <s v="No"/>
  </r>
  <r>
    <n v="899"/>
    <x v="130"/>
    <s v="Sunday"/>
    <s v="Different"/>
    <n v="88.61"/>
    <n v="10"/>
    <n v="0.11285407967498025"/>
    <n v="5"/>
    <d v="1899-12-30T17:14:00"/>
    <d v="1899-12-30T17:55:00"/>
    <d v="1899-12-30T00:41:00"/>
    <n v="41"/>
    <s v="2516 Avalon Drive"/>
    <m/>
    <x v="1"/>
    <x v="0"/>
    <x v="0"/>
    <s v="No"/>
  </r>
  <r>
    <n v="900"/>
    <x v="130"/>
    <s v="Sunday"/>
    <s v="Same"/>
    <n v="34.86"/>
    <n v="7"/>
    <n v="0.20080321285140562"/>
    <n v="1.5"/>
    <d v="1899-12-30T18:10:00"/>
    <d v="1899-12-30T18:39:00"/>
    <d v="1899-12-30T00:29:00"/>
    <n v="29.000000000000004"/>
    <s v="24 Armstrong Drive"/>
    <m/>
    <x v="0"/>
    <x v="3"/>
    <x v="0"/>
    <s v="No"/>
  </r>
  <r>
    <n v="901"/>
    <x v="130"/>
    <s v="Sunday"/>
    <s v="Same"/>
    <n v="58.83"/>
    <n v="13"/>
    <n v="0.2209756926738059"/>
    <n v="1.5"/>
    <d v="1899-12-30T18:13:00"/>
    <d v="1899-12-30T18:53:00"/>
    <d v="1899-12-30T00:40:00"/>
    <n v="40"/>
    <s v="5 Post N Paddock"/>
    <m/>
    <x v="0"/>
    <x v="0"/>
    <x v="0"/>
    <s v="No"/>
  </r>
  <r>
    <n v="902"/>
    <x v="130"/>
    <s v="Sunday"/>
    <s v="Same"/>
    <n v="37.35"/>
    <n v="7"/>
    <n v="0.18741633199464525"/>
    <n v="1.5"/>
    <d v="1899-12-30T19:11:00"/>
    <d v="1899-12-30T19:49:00"/>
    <d v="1899-12-30T00:38:00"/>
    <n v="38"/>
    <s v="4163 Victory Drive"/>
    <m/>
    <x v="0"/>
    <x v="4"/>
    <x v="0"/>
    <s v="No"/>
  </r>
  <r>
    <n v="903"/>
    <x v="130"/>
    <s v="Sunday"/>
    <s v="Same"/>
    <n v="64.569999999999993"/>
    <n v="3"/>
    <n v="4.6461204893913588E-2"/>
    <n v="1.5"/>
    <d v="1899-12-30T19:16:00"/>
    <d v="1899-12-30T19:55:00"/>
    <d v="1899-12-30T00:39:00"/>
    <n v="39"/>
    <s v="4603 Limerick Lane"/>
    <m/>
    <x v="0"/>
    <x v="0"/>
    <x v="0"/>
    <s v="No"/>
  </r>
  <r>
    <n v="904"/>
    <x v="130"/>
    <s v="Sunday"/>
    <s v="Same"/>
    <n v="66.680000000000007"/>
    <n v="13"/>
    <n v="0.19496100779844031"/>
    <n v="5"/>
    <d v="1899-12-30T19:16:00"/>
    <d v="1899-12-30T20:11:00"/>
    <d v="1899-12-30T00:55:00"/>
    <n v="54.999999999999993"/>
    <s v="1800 Hollow Falls Court"/>
    <m/>
    <x v="0"/>
    <x v="0"/>
    <x v="0"/>
    <s v="No"/>
  </r>
  <r>
    <n v="905"/>
    <x v="130"/>
    <s v="Sunday"/>
    <s v="Same"/>
    <n v="42.92"/>
    <n v="3"/>
    <n v="6.9897483690587139E-2"/>
    <n v="5"/>
    <d v="1899-12-30T19:16:00"/>
    <d v="1899-12-30T20:20:00"/>
    <d v="1899-12-30T01:04:00"/>
    <n v="64"/>
    <s v="3705 Amherst Drive"/>
    <m/>
    <x v="0"/>
    <x v="0"/>
    <x v="0"/>
    <s v="No"/>
  </r>
  <r>
    <n v="906"/>
    <x v="131"/>
    <s v="Friday"/>
    <s v="Different"/>
    <n v="44.33"/>
    <n v="7"/>
    <n v="0.15790660951951274"/>
    <n v="1.5"/>
    <d v="1899-12-30T17:24:00"/>
    <d v="1899-12-30T17:58:00"/>
    <d v="1899-12-30T00:34:00"/>
    <n v="34"/>
    <s v="4346 Armistice Drive"/>
    <m/>
    <x v="0"/>
    <x v="4"/>
    <x v="0"/>
    <s v="No"/>
  </r>
  <r>
    <n v="907"/>
    <x v="131"/>
    <s v="Friday"/>
    <s v="Same"/>
    <n v="41.57"/>
    <n v="5"/>
    <n v="0.12027904738994467"/>
    <n v="5"/>
    <d v="1899-12-30T17:31:00"/>
    <d v="1899-12-30T18:15:00"/>
    <d v="1899-12-30T00:44:00"/>
    <n v="44"/>
    <s v="9200 Aristocrat Lane"/>
    <m/>
    <x v="0"/>
    <x v="0"/>
    <x v="0"/>
    <s v="No"/>
  </r>
  <r>
    <n v="908"/>
    <x v="131"/>
    <s v="Friday"/>
    <s v="Same"/>
    <n v="31.34"/>
    <n v="7"/>
    <n v="0.22335673261008296"/>
    <n v="1.5"/>
    <d v="1899-12-30T18:27:00"/>
    <d v="1899-12-30T19:12:00"/>
    <d v="1899-12-30T00:45:00"/>
    <n v="45"/>
    <s v="6800 Regello Drive"/>
    <m/>
    <x v="0"/>
    <x v="0"/>
    <x v="0"/>
    <s v="No"/>
  </r>
  <r>
    <n v="909"/>
    <x v="131"/>
    <s v="Friday"/>
    <s v="Same"/>
    <n v="35.72"/>
    <n v="4"/>
    <n v="0.11198208286674133"/>
    <n v="1.5"/>
    <d v="1899-12-30T18:33:00"/>
    <d v="1899-12-30T19:15:00"/>
    <d v="1899-12-30T00:42:00"/>
    <n v="42"/>
    <s v="6848 Regello Drive"/>
    <m/>
    <x v="0"/>
    <x v="0"/>
    <x v="0"/>
    <s v="No"/>
  </r>
  <r>
    <n v="910"/>
    <x v="131"/>
    <s v="Friday"/>
    <s v="Same"/>
    <n v="39.94"/>
    <n v="9.06"/>
    <n v="0.22684026039058591"/>
    <n v="1.5"/>
    <d v="1899-12-30T18:46:00"/>
    <d v="1899-12-30T19:25:00"/>
    <d v="1899-12-30T00:39:00"/>
    <n v="39"/>
    <s v="6142 Cove Creek Lane"/>
    <m/>
    <x v="0"/>
    <x v="2"/>
    <x v="0"/>
    <s v="No"/>
  </r>
  <r>
    <n v="911"/>
    <x v="131"/>
    <s v="Friday"/>
    <s v="Same"/>
    <n v="38.590000000000003"/>
    <n v="4"/>
    <n v="0.10365379632029022"/>
    <n v="1.5"/>
    <d v="1899-12-30T18:25:00"/>
    <d v="1899-12-30T19:34:00"/>
    <d v="1899-12-30T01:09:00"/>
    <n v="69"/>
    <s v="5177 Iroquois Drive"/>
    <m/>
    <x v="0"/>
    <x v="0"/>
    <x v="0"/>
    <s v="No"/>
  </r>
  <r>
    <n v="912"/>
    <x v="131"/>
    <s v="Friday"/>
    <s v="Same"/>
    <n v="117.23"/>
    <n v="10"/>
    <n v="8.5302396997355617E-2"/>
    <n v="1.5"/>
    <d v="1899-12-30T18:38:00"/>
    <d v="1899-12-30T19:43:00"/>
    <d v="1899-12-30T01:05:00"/>
    <n v="65"/>
    <s v="3950 Guinn Gate Drive"/>
    <m/>
    <x v="0"/>
    <x v="0"/>
    <x v="0"/>
    <s v="No"/>
  </r>
  <r>
    <n v="913"/>
    <x v="131"/>
    <s v="Friday"/>
    <s v="Same"/>
    <n v="35.18"/>
    <n v="5.82"/>
    <n v="0.16543490619670267"/>
    <n v="1.5"/>
    <d v="1899-12-30T19:55:00"/>
    <d v="1899-12-30T20:36:00"/>
    <d v="1899-12-30T00:41:00"/>
    <n v="41"/>
    <s v="11909 Primrose Lane"/>
    <m/>
    <x v="0"/>
    <x v="0"/>
    <x v="0"/>
    <s v="No"/>
  </r>
  <r>
    <n v="914"/>
    <x v="132"/>
    <s v="Saturday"/>
    <s v="Different"/>
    <n v="93.64"/>
    <n v="5"/>
    <n v="5.3395984621956431E-2"/>
    <n v="1.5"/>
    <d v="1899-12-30T18:30:00"/>
    <d v="1899-12-30T18:30:00"/>
    <d v="1899-12-30T00:00:00"/>
    <n v="0"/>
    <s v="5830 Granite Parkway"/>
    <m/>
    <x v="2"/>
    <x v="0"/>
    <x v="3"/>
    <s v="Yes"/>
  </r>
  <r>
    <n v="915"/>
    <x v="132"/>
    <s v="Saturday"/>
    <s v="Same"/>
    <n v="39.94"/>
    <n v="5"/>
    <n v="0.12518778167250877"/>
    <n v="1.5"/>
    <d v="1899-12-30T18:11:00"/>
    <d v="1899-12-30T18:51:00"/>
    <d v="1899-12-30T00:40:00"/>
    <n v="40"/>
    <s v="4660 Means Drive"/>
    <m/>
    <x v="2"/>
    <x v="0"/>
    <x v="0"/>
    <s v="No"/>
  </r>
  <r>
    <n v="916"/>
    <x v="132"/>
    <s v="Saturday"/>
    <s v="Same"/>
    <n v="47.58"/>
    <n v="6"/>
    <n v="0.12610340479192939"/>
    <n v="1.5"/>
    <d v="1899-12-30T18:37:00"/>
    <d v="1899-12-30T19:22:00"/>
    <d v="1899-12-30T00:45:00"/>
    <n v="45"/>
    <s v="7008 Grand Hollow Drive"/>
    <m/>
    <x v="2"/>
    <x v="0"/>
    <x v="0"/>
    <s v="No"/>
  </r>
  <r>
    <n v="917"/>
    <x v="132"/>
    <s v="Saturday"/>
    <s v="Same"/>
    <n v="31.12"/>
    <n v="15"/>
    <n v="0.4820051413881748"/>
    <n v="1.5"/>
    <d v="1899-12-30T18:39:00"/>
    <d v="1899-12-30T19:29:00"/>
    <d v="1899-12-30T00:50:00"/>
    <n v="50"/>
    <s v="6532 Crown Forest Drive"/>
    <m/>
    <x v="2"/>
    <x v="0"/>
    <x v="0"/>
    <s v="No"/>
  </r>
  <r>
    <n v="918"/>
    <x v="132"/>
    <s v="Saturday"/>
    <s v="Same"/>
    <n v="25.71"/>
    <n v="5"/>
    <n v="0.19447685725398678"/>
    <n v="1.5"/>
    <d v="1899-12-30T18:59:00"/>
    <d v="1899-12-30T19:38:00"/>
    <d v="1899-12-30T00:39:00"/>
    <n v="39"/>
    <s v="5701 Lake District Drive"/>
    <n v="8"/>
    <x v="3"/>
    <x v="0"/>
    <x v="0"/>
    <s v="No"/>
  </r>
  <r>
    <n v="919"/>
    <x v="133"/>
    <s v="Sunday"/>
    <s v="Different"/>
    <n v="22.95"/>
    <n v="5"/>
    <n v="0.2178649237472767"/>
    <n v="1.5"/>
    <d v="1899-12-30T17:08:00"/>
    <d v="1899-12-30T17:40:00"/>
    <d v="1899-12-30T00:32:00"/>
    <n v="32"/>
    <s v="5500 Frisco Square Blvd"/>
    <m/>
    <x v="0"/>
    <x v="0"/>
    <x v="3"/>
    <s v="No"/>
  </r>
  <r>
    <n v="920"/>
    <x v="133"/>
    <s v="Sunday"/>
    <s v="Same"/>
    <n v="51.58"/>
    <n v="6"/>
    <n v="0.1163241566498643"/>
    <n v="5"/>
    <d v="1899-12-30T18:03:00"/>
    <d v="1899-12-30T18:53:00"/>
    <d v="1899-12-30T00:50:00"/>
    <n v="50"/>
    <s v="7950 Meadow Hill Drive"/>
    <m/>
    <x v="0"/>
    <x v="0"/>
    <x v="0"/>
    <s v="No"/>
  </r>
  <r>
    <n v="921"/>
    <x v="133"/>
    <s v="Sunday"/>
    <s v="Same"/>
    <n v="8.77"/>
    <n v="6.23"/>
    <n v="0.71037628278221221"/>
    <n v="1.5"/>
    <d v="1899-12-30T19:53:00"/>
    <d v="1899-12-30T20:34:00"/>
    <d v="1899-12-30T00:41:00"/>
    <n v="41"/>
    <s v="19 Armstrong Drive"/>
    <m/>
    <x v="0"/>
    <x v="3"/>
    <x v="0"/>
    <s v="No"/>
  </r>
  <r>
    <n v="922"/>
    <x v="133"/>
    <s v="Sunday"/>
    <s v="Same"/>
    <n v="21.65"/>
    <n v="4"/>
    <n v="0.18475750577367206"/>
    <n v="1.5"/>
    <d v="1899-12-30T20:07:00"/>
    <d v="1899-12-30T20:51:00"/>
    <d v="1899-12-30T00:44:00"/>
    <n v="44"/>
    <s v="5200 Town and Country Blvd"/>
    <n v="2010"/>
    <x v="0"/>
    <x v="0"/>
    <x v="1"/>
    <s v="No"/>
  </r>
  <r>
    <n v="923"/>
    <x v="133"/>
    <s v="Sunday"/>
    <s v="Same"/>
    <n v="38.369999999999997"/>
    <n v="12"/>
    <n v="0.31274433150899145"/>
    <n v="5"/>
    <d v="1899-12-30T20:02:00"/>
    <d v="1899-12-30T21:05:00"/>
    <d v="1899-12-30T01:03:00"/>
    <n v="63"/>
    <s v="664 Hobie Point Drive"/>
    <m/>
    <x v="3"/>
    <x v="0"/>
    <x v="0"/>
    <s v="No"/>
  </r>
  <r>
    <n v="924"/>
    <x v="133"/>
    <s v="Sunday"/>
    <s v="Same"/>
    <n v="49.47"/>
    <n v="7.53"/>
    <n v="0.15221346270466951"/>
    <n v="1.5"/>
    <d v="1899-12-30T21:22:00"/>
    <d v="1899-12-30T21:49:00"/>
    <d v="1899-12-30T00:27:00"/>
    <n v="26.999999999999996"/>
    <s v="8727 Domingo Drive"/>
    <m/>
    <x v="2"/>
    <x v="0"/>
    <x v="0"/>
    <s v="No"/>
  </r>
  <r>
    <n v="925"/>
    <x v="134"/>
    <s v="Monday"/>
    <s v="Different"/>
    <n v="28.52"/>
    <n v="10"/>
    <n v="0.35063113604488078"/>
    <n v="1.5"/>
    <d v="1899-12-30T16:27:00"/>
    <d v="1899-12-30T16:55:00"/>
    <d v="1899-12-30T00:28:00"/>
    <n v="28"/>
    <s v="6853 North Dallas Parkway"/>
    <n v="421"/>
    <x v="2"/>
    <x v="0"/>
    <x v="2"/>
    <s v="No"/>
  </r>
  <r>
    <n v="926"/>
    <x v="134"/>
    <s v="Monday"/>
    <s v="Same"/>
    <n v="33.5"/>
    <n v="6"/>
    <n v="0.17910447761194029"/>
    <n v="1.5"/>
    <d v="1899-12-30T16:24:00"/>
    <d v="1899-12-30T17:08:00"/>
    <d v="1899-12-30T00:44:00"/>
    <n v="44"/>
    <s v="2169 Cardinal Blvd"/>
    <m/>
    <x v="4"/>
    <x v="0"/>
    <x v="0"/>
    <s v="No"/>
  </r>
  <r>
    <n v="927"/>
    <x v="134"/>
    <s v="Monday"/>
    <s v="Same"/>
    <n v="19.21"/>
    <n v="4.79"/>
    <n v="0.24934929724102028"/>
    <n v="1.5"/>
    <d v="1899-12-30T17:32:00"/>
    <d v="1899-12-30T17:58:00"/>
    <d v="1899-12-30T00:26:00"/>
    <n v="26"/>
    <s v="1 Pinehurst Court"/>
    <m/>
    <x v="0"/>
    <x v="1"/>
    <x v="0"/>
    <s v="No"/>
  </r>
  <r>
    <n v="928"/>
    <x v="134"/>
    <s v="Monday"/>
    <s v="Same"/>
    <n v="130.77000000000001"/>
    <n v="20"/>
    <n v="0.15294027682190103"/>
    <n v="1.5"/>
    <d v="1899-12-30T17:25:00"/>
    <d v="1899-12-30T18:20:00"/>
    <d v="1899-12-30T00:55:00"/>
    <n v="54.999999999999993"/>
    <s v="5436 Stone Canyon Drive"/>
    <m/>
    <x v="0"/>
    <x v="2"/>
    <x v="0"/>
    <s v="No"/>
  </r>
  <r>
    <n v="929"/>
    <x v="134"/>
    <s v="Monday"/>
    <s v="Same"/>
    <n v="51.04"/>
    <n v="4"/>
    <n v="7.8369905956112859E-2"/>
    <n v="5"/>
    <d v="1899-12-30T17:33:00"/>
    <d v="1899-12-30T18:35:00"/>
    <d v="1899-12-30T01:02:00"/>
    <n v="62.000000000000007"/>
    <s v="8136 Flintrock Drive"/>
    <m/>
    <x v="0"/>
    <x v="0"/>
    <x v="0"/>
    <s v="No"/>
  </r>
  <r>
    <n v="930"/>
    <x v="134"/>
    <s v="Monday"/>
    <s v="Same"/>
    <n v="51.91"/>
    <n v="6"/>
    <n v="0.11558466576767483"/>
    <n v="1.5"/>
    <d v="1899-12-30T18:40:00"/>
    <d v="1899-12-30T19:17:00"/>
    <d v="1899-12-30T00:37:00"/>
    <n v="37"/>
    <s v="3603 Patriot Drive"/>
    <m/>
    <x v="0"/>
    <x v="4"/>
    <x v="0"/>
    <s v="No"/>
  </r>
  <r>
    <n v="931"/>
    <x v="134"/>
    <s v="Monday"/>
    <s v="Same"/>
    <n v="43.03"/>
    <n v="15"/>
    <n v="0.34859400418312803"/>
    <n v="1.5"/>
    <d v="1899-12-30T19:28:00"/>
    <d v="1899-12-30T20:00:00"/>
    <d v="1899-12-30T00:32:00"/>
    <n v="32"/>
    <s v="3717 Andover Drive"/>
    <m/>
    <x v="0"/>
    <x v="0"/>
    <x v="0"/>
    <s v="No"/>
  </r>
  <r>
    <n v="932"/>
    <x v="135"/>
    <s v="Wednesday"/>
    <s v="Different"/>
    <n v="19.43"/>
    <n v="2"/>
    <n v="0.1029336078229542"/>
    <n v="5"/>
    <d v="1899-12-30T18:24:00"/>
    <d v="1899-12-30T19:01:00"/>
    <d v="1899-12-30T00:37:00"/>
    <n v="37"/>
    <s v="3481 Barkwood Lane"/>
    <m/>
    <x v="0"/>
    <x v="0"/>
    <x v="0"/>
    <s v="No"/>
  </r>
  <r>
    <n v="933"/>
    <x v="135"/>
    <s v="Wednesday"/>
    <s v="Same"/>
    <n v="36.479999999999997"/>
    <n v="7"/>
    <n v="0.19188596491228072"/>
    <n v="1.5"/>
    <d v="1899-12-30T19:27:00"/>
    <d v="1899-12-30T19:47:00"/>
    <d v="1899-12-30T00:20:00"/>
    <n v="20"/>
    <s v="3861 Plantation Lane"/>
    <m/>
    <x v="0"/>
    <x v="0"/>
    <x v="0"/>
    <s v="No"/>
  </r>
  <r>
    <n v="934"/>
    <x v="136"/>
    <s v="Thursday"/>
    <s v="Different"/>
    <n v="55.95"/>
    <n v="5"/>
    <n v="8.936550491510277E-2"/>
    <n v="5"/>
    <d v="1899-12-30T17:11:00"/>
    <d v="1899-12-30T17:45:00"/>
    <d v="1899-12-30T00:34:00"/>
    <n v="34"/>
    <s v="3412 Sloane Street"/>
    <n v="115"/>
    <x v="4"/>
    <x v="0"/>
    <x v="1"/>
    <s v="No"/>
  </r>
  <r>
    <n v="935"/>
    <x v="136"/>
    <s v="Thursday"/>
    <s v="Same"/>
    <n v="51.96"/>
    <n v="2"/>
    <n v="3.8491147036181679E-2"/>
    <n v="1.5"/>
    <d v="1899-12-30T18:14:00"/>
    <d v="1899-12-30T18:46:00"/>
    <d v="1899-12-30T00:32:00"/>
    <n v="32"/>
    <s v="4417 Munira Drive"/>
    <m/>
    <x v="0"/>
    <x v="0"/>
    <x v="0"/>
    <s v="No"/>
  </r>
  <r>
    <n v="936"/>
    <x v="137"/>
    <s v="Friday"/>
    <s v="Different"/>
    <n v="16.18"/>
    <n v="4"/>
    <n v="0.24721878862793573"/>
    <n v="5"/>
    <d v="1899-12-30T17:48:00"/>
    <d v="1899-12-30T18:23:00"/>
    <d v="1899-12-30T00:35:00"/>
    <n v="35"/>
    <s v="9100 Independence Parkway"/>
    <n v="204"/>
    <x v="2"/>
    <x v="0"/>
    <x v="1"/>
    <s v="No"/>
  </r>
  <r>
    <n v="937"/>
    <x v="137"/>
    <s v="Friday"/>
    <s v="Same"/>
    <n v="37.380000000000003"/>
    <n v="8"/>
    <n v="0.21401819154628141"/>
    <n v="1.5"/>
    <d v="1899-12-30T18:25:00"/>
    <d v="1899-12-30T19:11:00"/>
    <d v="1899-12-30T00:46:00"/>
    <n v="46.000000000000007"/>
    <s v="7600 John Q Hammons Blvd"/>
    <n v="713"/>
    <x v="0"/>
    <x v="0"/>
    <x v="2"/>
    <s v="No"/>
  </r>
  <r>
    <n v="938"/>
    <x v="137"/>
    <s v="Friday"/>
    <s v="Same"/>
    <n v="42.7"/>
    <n v="17.3"/>
    <n v="0.40515222482435598"/>
    <n v="5"/>
    <d v="1899-12-30T18:36:00"/>
    <d v="1899-12-30T19:32:00"/>
    <d v="1899-12-30T00:56:00"/>
    <n v="56"/>
    <s v="8061 Hillside Drive"/>
    <m/>
    <x v="0"/>
    <x v="0"/>
    <x v="0"/>
    <s v="No"/>
  </r>
  <r>
    <n v="939"/>
    <x v="137"/>
    <s v="Friday"/>
    <s v="Same"/>
    <n v="53.53"/>
    <n v="10"/>
    <n v="0.18681113394358304"/>
    <n v="1.5"/>
    <d v="1899-12-30T18:32:00"/>
    <d v="1899-12-30T19:44:00"/>
    <d v="1899-12-30T01:12:00"/>
    <n v="72"/>
    <s v="10005 Burgundy Drive"/>
    <m/>
    <x v="0"/>
    <x v="0"/>
    <x v="0"/>
    <s v="No"/>
  </r>
  <r>
    <n v="940"/>
    <x v="137"/>
    <s v="Friday"/>
    <s v="Same"/>
    <n v="61.81"/>
    <n v="10"/>
    <n v="0.16178611875101115"/>
    <n v="1.5"/>
    <d v="1899-12-30T18:36:00"/>
    <d v="1899-12-30T19:51:00"/>
    <d v="1899-12-30T01:15:00"/>
    <n v="75"/>
    <s v="6616 Richmond Drive"/>
    <m/>
    <x v="0"/>
    <x v="0"/>
    <x v="0"/>
    <s v="No"/>
  </r>
  <r>
    <n v="941"/>
    <x v="137"/>
    <s v="Friday"/>
    <s v="Same"/>
    <n v="38.369999999999997"/>
    <n v="6"/>
    <n v="0.15637216575449572"/>
    <n v="1.5"/>
    <d v="1899-12-30T19:18:00"/>
    <d v="1899-12-30T20:27:00"/>
    <d v="1899-12-30T01:09:00"/>
    <n v="69"/>
    <s v="3799 Summit Court"/>
    <m/>
    <x v="0"/>
    <x v="0"/>
    <x v="0"/>
    <s v="No"/>
  </r>
  <r>
    <n v="942"/>
    <x v="137"/>
    <s v="Friday"/>
    <s v="Same"/>
    <n v="44.6"/>
    <n v="7"/>
    <n v="0.15695067264573989"/>
    <n v="1.5"/>
    <d v="1899-12-30T19:49:00"/>
    <d v="1899-12-30T21:01:00"/>
    <d v="1899-12-30T01:12:00"/>
    <n v="72"/>
    <s v="6737 Pecan Chase Lane"/>
    <m/>
    <x v="0"/>
    <x v="0"/>
    <x v="0"/>
    <s v="No"/>
  </r>
  <r>
    <n v="943"/>
    <x v="137"/>
    <s v="Friday"/>
    <s v="Same"/>
    <n v="27.3"/>
    <n v="13"/>
    <n v="0.47619047619047616"/>
    <n v="1.5"/>
    <d v="1899-12-30T20:56:00"/>
    <d v="1899-12-30T21:47:00"/>
    <d v="1899-12-30T00:51:00"/>
    <n v="51"/>
    <s v="2835 Hudson Blvd"/>
    <n v="315"/>
    <x v="3"/>
    <x v="0"/>
    <x v="1"/>
    <s v="No"/>
  </r>
  <r>
    <n v="944"/>
    <x v="138"/>
    <s v="Saturday"/>
    <s v="Different"/>
    <n v="51.31"/>
    <n v="5"/>
    <n v="9.7446891444162922E-2"/>
    <n v="5"/>
    <d v="1899-12-30T17:50:00"/>
    <d v="1899-12-30T18:09:00"/>
    <d v="1899-12-30T00:19:00"/>
    <n v="19"/>
    <s v="1105 Damsel Caitlyn Drive"/>
    <m/>
    <x v="1"/>
    <x v="0"/>
    <x v="0"/>
    <s v="Yes"/>
  </r>
  <r>
    <n v="945"/>
    <x v="138"/>
    <s v="Saturday"/>
    <s v="Same"/>
    <n v="21.05"/>
    <n v="4.95"/>
    <n v="0.23515439429928742"/>
    <n v="1.5"/>
    <d v="1899-12-30T17:38:00"/>
    <d v="1899-12-30T18:31:00"/>
    <d v="1899-12-30T00:53:00"/>
    <n v="53"/>
    <s v="6412 Riverside Drive"/>
    <m/>
    <x v="2"/>
    <x v="0"/>
    <x v="0"/>
    <s v="No"/>
  </r>
  <r>
    <n v="946"/>
    <x v="138"/>
    <s v="Saturday"/>
    <s v="Same"/>
    <n v="30.31"/>
    <n v="5"/>
    <n v="0.16496205872649292"/>
    <n v="1.5"/>
    <d v="1899-12-30T18:43:00"/>
    <d v="1899-12-30T19:23:00"/>
    <d v="1899-12-30T00:40:00"/>
    <n v="40"/>
    <s v="3109 Great Southwest Drive"/>
    <m/>
    <x v="2"/>
    <x v="0"/>
    <x v="0"/>
    <s v="No"/>
  </r>
  <r>
    <n v="947"/>
    <x v="138"/>
    <s v="Saturday"/>
    <s v="Same"/>
    <n v="41.08"/>
    <n v="8"/>
    <n v="0.19474196689386564"/>
    <n v="5"/>
    <d v="1899-12-30T18:47:00"/>
    <d v="1899-12-30T19:34:00"/>
    <d v="1899-12-30T00:47:00"/>
    <n v="47.000000000000007"/>
    <s v="1828 Audubon Pond Way"/>
    <m/>
    <x v="6"/>
    <x v="0"/>
    <x v="0"/>
    <s v="No"/>
  </r>
  <r>
    <n v="948"/>
    <x v="138"/>
    <s v="Saturday"/>
    <s v="Same"/>
    <n v="22.41"/>
    <n v="4"/>
    <n v="0.17849174475680499"/>
    <n v="1.5"/>
    <d v="1899-12-30T20:02:00"/>
    <d v="1899-12-30T20:30:00"/>
    <d v="1899-12-30T00:28:00"/>
    <n v="28"/>
    <s v="5944 Broadmoor Drive"/>
    <m/>
    <x v="2"/>
    <x v="0"/>
    <x v="0"/>
    <s v="No"/>
  </r>
  <r>
    <n v="949"/>
    <x v="138"/>
    <s v="Saturday"/>
    <s v="Same"/>
    <n v="12.18"/>
    <n v="2"/>
    <n v="0.16420361247947454"/>
    <n v="1.5"/>
    <d v="1899-12-30T20:38:00"/>
    <d v="1899-12-30T21:27:00"/>
    <d v="1899-12-30T00:49:00"/>
    <n v="49"/>
    <s v="5761 Robbie Road"/>
    <n v="3200"/>
    <x v="2"/>
    <x v="0"/>
    <x v="1"/>
    <s v="No"/>
  </r>
  <r>
    <n v="950"/>
    <x v="138"/>
    <s v="Saturday"/>
    <s v="Same"/>
    <n v="171.96"/>
    <n v="20"/>
    <n v="0.11630611770179111"/>
    <n v="1.5"/>
    <d v="1899-12-30T20:47:00"/>
    <d v="1899-12-30T21:45:00"/>
    <d v="1899-12-30T00:58:00"/>
    <n v="58.000000000000007"/>
    <s v="15230 Ridgewood Drive"/>
    <m/>
    <x v="0"/>
    <x v="0"/>
    <x v="0"/>
    <s v="No"/>
  </r>
  <r>
    <n v="951"/>
    <x v="138"/>
    <s v="Saturday"/>
    <s v="Same"/>
    <n v="21.6"/>
    <n v="5"/>
    <n v="0.23148148148148145"/>
    <n v="1.5"/>
    <d v="1899-12-30T21:00:00"/>
    <d v="1899-12-30T21:58:00"/>
    <d v="1899-12-30T00:58:00"/>
    <n v="58.000000000000007"/>
    <s v="3529 Pillar Drive"/>
    <m/>
    <x v="2"/>
    <x v="0"/>
    <x v="0"/>
    <s v="No"/>
  </r>
  <r>
    <n v="952"/>
    <x v="139"/>
    <s v="Sunday"/>
    <s v="Different"/>
    <n v="44.06"/>
    <n v="5.94"/>
    <n v="0.13481615978211531"/>
    <n v="1.5"/>
    <d v="1899-12-30T17:23:00"/>
    <d v="1899-12-30T17:53:00"/>
    <d v="1899-12-30T00:30:00"/>
    <n v="30"/>
    <s v="5248 Northshore Drive"/>
    <m/>
    <x v="0"/>
    <x v="0"/>
    <x v="0"/>
    <s v="No"/>
  </r>
  <r>
    <n v="953"/>
    <x v="139"/>
    <s v="Sunday"/>
    <s v="Same"/>
    <n v="64.3"/>
    <n v="15.7"/>
    <n v="0.24416796267496113"/>
    <n v="1.5"/>
    <d v="1899-12-30T18:02:00"/>
    <d v="1899-12-30T18:27:00"/>
    <d v="1899-12-30T00:25:00"/>
    <n v="25"/>
    <s v="1609 Prince William Lane"/>
    <m/>
    <x v="0"/>
    <x v="0"/>
    <x v="0"/>
    <s v="No"/>
  </r>
  <r>
    <n v="954"/>
    <x v="139"/>
    <s v="Sunday"/>
    <s v="Same"/>
    <n v="37.51"/>
    <n v="5"/>
    <n v="0.13329778725673155"/>
    <n v="5"/>
    <d v="1899-12-30T18:06:00"/>
    <d v="1899-12-30T18:44:00"/>
    <d v="1899-12-30T00:38:00"/>
    <n v="38"/>
    <s v="9302 Mirror Fountain Circle"/>
    <m/>
    <x v="0"/>
    <x v="0"/>
    <x v="0"/>
    <s v="No"/>
  </r>
  <r>
    <n v="955"/>
    <x v="139"/>
    <s v="Sunday"/>
    <s v="Same"/>
    <n v="23.76"/>
    <n v="5"/>
    <n v="0.21043771043771042"/>
    <n v="1.5"/>
    <d v="1899-12-30T19:08:00"/>
    <d v="1899-12-30T19:53:00"/>
    <d v="1899-12-30T00:45:00"/>
    <n v="45"/>
    <s v="3004 Vidalia Lane"/>
    <m/>
    <x v="2"/>
    <x v="0"/>
    <x v="0"/>
    <s v="No"/>
  </r>
  <r>
    <n v="956"/>
    <x v="139"/>
    <s v="Sunday"/>
    <s v="Same"/>
    <n v="32.200000000000003"/>
    <n v="6"/>
    <n v="0.18633540372670807"/>
    <n v="1.5"/>
    <d v="1899-12-30T19:31:00"/>
    <d v="1899-12-30T20:23:00"/>
    <d v="1899-12-30T00:52:00"/>
    <n v="52"/>
    <s v="5601 Baton Rouge Blvd"/>
    <m/>
    <x v="0"/>
    <x v="0"/>
    <x v="0"/>
    <s v="No"/>
  </r>
  <r>
    <n v="957"/>
    <x v="139"/>
    <s v="Sunday"/>
    <s v="Same"/>
    <n v="46.44"/>
    <n v="9"/>
    <n v="0.19379844961240311"/>
    <n v="1.5"/>
    <d v="1899-12-30T19:50:00"/>
    <d v="1899-12-30T20:56:00"/>
    <d v="1899-12-30T01:06:00"/>
    <n v="66"/>
    <s v="5820 Trego Circle"/>
    <m/>
    <x v="3"/>
    <x v="0"/>
    <x v="0"/>
    <s v="No"/>
  </r>
  <r>
    <n v="958"/>
    <x v="139"/>
    <s v="Sunday"/>
    <s v="Same"/>
    <n v="49.42"/>
    <n v="10"/>
    <n v="0.20234722784297854"/>
    <n v="1.5"/>
    <d v="1899-12-30T19:50:00"/>
    <d v="1899-12-30T21:15:00"/>
    <d v="1899-12-30T01:25:00"/>
    <n v="85"/>
    <s v="5397 Spicewood Lane"/>
    <m/>
    <x v="0"/>
    <x v="2"/>
    <x v="0"/>
    <s v="No"/>
  </r>
  <r>
    <n v="959"/>
    <x v="140"/>
    <s v="Monday"/>
    <s v="Different"/>
    <n v="20.03"/>
    <n v="2"/>
    <n v="9.9850224663005485E-2"/>
    <n v="1.5"/>
    <d v="1899-12-30T18:21:00"/>
    <d v="1899-12-30T18:50:00"/>
    <d v="1899-12-30T00:29:00"/>
    <n v="29.000000000000004"/>
    <s v="6200 Tennyson Parkway"/>
    <m/>
    <x v="2"/>
    <x v="0"/>
    <x v="3"/>
    <s v="No"/>
  </r>
  <r>
    <n v="960"/>
    <x v="140"/>
    <s v="Monday"/>
    <s v="Same"/>
    <n v="36.26"/>
    <n v="5"/>
    <n v="0.13789299503585217"/>
    <n v="1.5"/>
    <d v="1899-12-30T18:19:00"/>
    <d v="1899-12-30T19:06:00"/>
    <d v="1899-12-30T00:47:00"/>
    <n v="47.000000000000007"/>
    <s v="4508 Turnberry Court"/>
    <m/>
    <x v="2"/>
    <x v="0"/>
    <x v="0"/>
    <s v="No"/>
  </r>
  <r>
    <n v="961"/>
    <x v="140"/>
    <s v="Monday"/>
    <s v="Same"/>
    <n v="28.36"/>
    <n v="6.34"/>
    <n v="0.22355430183356839"/>
    <n v="1.5"/>
    <d v="1899-12-30T19:03:00"/>
    <d v="1899-12-30T20:00:00"/>
    <d v="1899-12-30T00:57:00"/>
    <n v="57"/>
    <s v="3758 Rittenhouse Road"/>
    <m/>
    <x v="0"/>
    <x v="0"/>
    <x v="0"/>
    <s v="No"/>
  </r>
  <r>
    <n v="962"/>
    <x v="140"/>
    <s v="Monday"/>
    <s v="Same"/>
    <n v="71.45"/>
    <n v="13"/>
    <n v="0.18194541637508746"/>
    <n v="1.5"/>
    <d v="1899-12-30T19:31:00"/>
    <d v="1899-12-30T20:16:00"/>
    <d v="1899-12-30T00:45:00"/>
    <n v="45"/>
    <s v="5378 Buena Vista Drive"/>
    <m/>
    <x v="0"/>
    <x v="0"/>
    <x v="0"/>
    <s v="No"/>
  </r>
  <r>
    <n v="963"/>
    <x v="140"/>
    <s v="Monday"/>
    <s v="Same"/>
    <n v="37.78"/>
    <n v="12.12"/>
    <n v="0.32080465854949708"/>
    <n v="1.5"/>
    <d v="1899-12-30T19:35:00"/>
    <d v="1899-12-30T20:23:00"/>
    <d v="1899-12-30T00:48:00"/>
    <n v="48"/>
    <s v="6142 Cove Creek Lane"/>
    <m/>
    <x v="0"/>
    <x v="2"/>
    <x v="0"/>
    <s v="No"/>
  </r>
  <r>
    <n v="964"/>
    <x v="141"/>
    <s v="Friday"/>
    <s v="Different"/>
    <n v="42.7"/>
    <n v="4"/>
    <n v="9.3676814988290391E-2"/>
    <n v="1.5"/>
    <d v="1899-12-30T18:21:00"/>
    <d v="1899-12-30T18:53:00"/>
    <d v="1899-12-30T00:32:00"/>
    <n v="32"/>
    <s v="5505 Big River Drive"/>
    <m/>
    <x v="3"/>
    <x v="0"/>
    <x v="0"/>
    <s v="No"/>
  </r>
  <r>
    <n v="965"/>
    <x v="141"/>
    <s v="Friday"/>
    <s v="Same"/>
    <n v="24.9"/>
    <n v="5"/>
    <n v="0.20080321285140562"/>
    <n v="1.5"/>
    <d v="1899-12-30T18:21:00"/>
    <d v="1899-12-30T19:17:00"/>
    <d v="1899-12-30T00:56:00"/>
    <n v="56"/>
    <s v="6089 Dripping Springs Drive"/>
    <m/>
    <x v="0"/>
    <x v="2"/>
    <x v="0"/>
    <s v="No"/>
  </r>
  <r>
    <n v="966"/>
    <x v="142"/>
    <s v="Sunday"/>
    <s v="Different"/>
    <n v="29.17"/>
    <n v="5"/>
    <n v="0.17140898183064793"/>
    <n v="1.5"/>
    <d v="1899-12-30T16:58:00"/>
    <d v="1899-12-30T18:03:00"/>
    <d v="1899-12-30T01:05:00"/>
    <n v="65"/>
    <s v="2169 Cardinal Blvd"/>
    <m/>
    <x v="4"/>
    <x v="0"/>
    <x v="0"/>
    <s v="No"/>
  </r>
  <r>
    <n v="967"/>
    <x v="142"/>
    <s v="Sunday"/>
    <s v="Same"/>
    <n v="34.590000000000003"/>
    <n v="5"/>
    <n v="0.14455044810638912"/>
    <n v="1.5"/>
    <d v="1899-12-30T17:26:00"/>
    <d v="1899-12-30T18:13:00"/>
    <d v="1899-12-30T00:47:00"/>
    <n v="47.000000000000007"/>
    <s v="6412 Riverside Drive"/>
    <m/>
    <x v="2"/>
    <x v="0"/>
    <x v="0"/>
    <s v="No"/>
  </r>
  <r>
    <n v="968"/>
    <x v="142"/>
    <s v="Sunday"/>
    <s v="Same"/>
    <n v="38.43"/>
    <n v="3"/>
    <n v="7.8064012490242002E-2"/>
    <n v="1.5"/>
    <d v="1899-12-30T17:31:00"/>
    <d v="1899-12-30T18:20:00"/>
    <d v="1899-12-30T00:49:00"/>
    <n v="49"/>
    <s v="6400 Indian Trail"/>
    <m/>
    <x v="2"/>
    <x v="0"/>
    <x v="0"/>
    <s v="No"/>
  </r>
  <r>
    <n v="969"/>
    <x v="142"/>
    <s v="Sunday"/>
    <s v="Same"/>
    <n v="31.07"/>
    <n v="7"/>
    <n v="0.2252977148374638"/>
    <n v="1.5"/>
    <d v="1899-12-30T18:41:00"/>
    <d v="1899-12-30T19:11:00"/>
    <d v="1899-12-30T00:30:00"/>
    <n v="30"/>
    <s v="5825 Hamilton Drive"/>
    <m/>
    <x v="3"/>
    <x v="0"/>
    <x v="0"/>
    <s v="No"/>
  </r>
  <r>
    <n v="970"/>
    <x v="142"/>
    <s v="Sunday"/>
    <s v="Same"/>
    <n v="34.1"/>
    <n v="5"/>
    <n v="0.14662756598240467"/>
    <n v="1.5"/>
    <d v="1899-12-30T19:53:00"/>
    <d v="1899-12-30T20:28:00"/>
    <d v="1899-12-30T00:35:00"/>
    <n v="35"/>
    <s v="10612 Memphis Drive"/>
    <m/>
    <x v="0"/>
    <x v="0"/>
    <x v="0"/>
    <s v="No"/>
  </r>
  <r>
    <n v="971"/>
    <x v="142"/>
    <s v="Sunday"/>
    <s v="Same"/>
    <n v="18.399999999999999"/>
    <n v="5"/>
    <n v="0.27173913043478265"/>
    <n v="1.5"/>
    <d v="1899-12-30T19:54:00"/>
    <d v="1899-12-30T20:40:00"/>
    <d v="1899-12-30T00:46:00"/>
    <n v="46.000000000000007"/>
    <s v="7550 Gaylord Parkway"/>
    <n v="220"/>
    <x v="0"/>
    <x v="0"/>
    <x v="2"/>
    <s v="No"/>
  </r>
  <r>
    <n v="972"/>
    <x v="142"/>
    <s v="Sunday"/>
    <s v="Same"/>
    <n v="47.58"/>
    <n v="7"/>
    <n v="0.14712063892391761"/>
    <n v="5"/>
    <d v="1899-12-30T20:32:00"/>
    <d v="1899-12-30T21:14:00"/>
    <d v="1899-12-30T00:42:00"/>
    <n v="42"/>
    <s v="2329 Langdon Drive"/>
    <m/>
    <x v="0"/>
    <x v="0"/>
    <x v="0"/>
    <s v="No"/>
  </r>
  <r>
    <n v="973"/>
    <x v="143"/>
    <s v="Friday"/>
    <s v="Different"/>
    <n v="61.59"/>
    <n v="7"/>
    <n v="0.11365481409319694"/>
    <n v="5"/>
    <d v="1899-12-30T17:15:00"/>
    <d v="1899-12-30T17:15:00"/>
    <d v="1899-12-30T00:00:00"/>
    <n v="0"/>
    <s v="9200 Aristocrat Lane"/>
    <m/>
    <x v="0"/>
    <x v="0"/>
    <x v="0"/>
    <s v="Yes"/>
  </r>
  <r>
    <n v="974"/>
    <x v="143"/>
    <s v="Friday"/>
    <s v="Same"/>
    <n v="32.479999999999997"/>
    <n v="4.5199999999999996"/>
    <n v="0.13916256157635468"/>
    <n v="1.5"/>
    <d v="1899-12-30T16:45:00"/>
    <d v="1899-12-30T17:39:00"/>
    <d v="1899-12-30T00:54:00"/>
    <n v="53.999999999999993"/>
    <s v="1 Pinehurst Court"/>
    <m/>
    <x v="0"/>
    <x v="1"/>
    <x v="0"/>
    <s v="No"/>
  </r>
  <r>
    <n v="975"/>
    <x v="143"/>
    <s v="Friday"/>
    <s v="Same"/>
    <n v="32.96"/>
    <n v="3"/>
    <n v="9.1019417475728157E-2"/>
    <n v="1.5"/>
    <d v="1899-12-30T18:30:00"/>
    <d v="1899-12-30T18:30:00"/>
    <d v="1899-12-30T00:00:00"/>
    <n v="0"/>
    <s v="6404 Riverside Drive"/>
    <m/>
    <x v="2"/>
    <x v="0"/>
    <x v="0"/>
    <s v="Yes"/>
  </r>
  <r>
    <n v="976"/>
    <x v="143"/>
    <s v="Friday"/>
    <s v="Same"/>
    <n v="41.84"/>
    <n v="6"/>
    <n v="0.14340344168260036"/>
    <n v="1.5"/>
    <d v="1899-12-30T18:11:00"/>
    <d v="1899-12-30T18:41:00"/>
    <d v="1899-12-30T00:30:00"/>
    <n v="30"/>
    <s v="6408 Teal Court"/>
    <m/>
    <x v="2"/>
    <x v="0"/>
    <x v="0"/>
    <s v="No"/>
  </r>
  <r>
    <n v="977"/>
    <x v="143"/>
    <s v="Friday"/>
    <s v="Same"/>
    <n v="50.5"/>
    <n v="6"/>
    <n v="0.11881188118811881"/>
    <n v="1.5"/>
    <d v="1899-12-30T18:50:00"/>
    <d v="1899-12-30T19:34:00"/>
    <d v="1899-12-30T00:44:00"/>
    <n v="44"/>
    <s v="7008 Grand Hollow Drive"/>
    <m/>
    <x v="2"/>
    <x v="0"/>
    <x v="0"/>
    <s v="No"/>
  </r>
  <r>
    <n v="978"/>
    <x v="143"/>
    <s v="Friday"/>
    <s v="Same"/>
    <n v="33.56"/>
    <n v="7"/>
    <n v="0.20858164481525623"/>
    <n v="1.5"/>
    <d v="1899-12-30T19:03:00"/>
    <d v="1899-12-30T19:50:00"/>
    <d v="1899-12-30T00:47:00"/>
    <n v="47.000000000000007"/>
    <s v="5748 Kate Avenue"/>
    <m/>
    <x v="2"/>
    <x v="0"/>
    <x v="0"/>
    <s v="No"/>
  </r>
  <r>
    <n v="979"/>
    <x v="143"/>
    <s v="Friday"/>
    <s v="Same"/>
    <n v="22.14"/>
    <n v="4"/>
    <n v="0.18066847335140018"/>
    <n v="1.5"/>
    <d v="1899-12-30T20:12:00"/>
    <d v="1899-12-30T20:41:00"/>
    <d v="1899-12-30T00:29:00"/>
    <n v="29.000000000000004"/>
    <s v="9400 Wade Blvd"/>
    <n v="1918"/>
    <x v="0"/>
    <x v="0"/>
    <x v="1"/>
    <s v="No"/>
  </r>
  <r>
    <n v="980"/>
    <x v="144"/>
    <s v="Saturday"/>
    <s v="Different"/>
    <n v="27.55"/>
    <n v="2"/>
    <n v="7.2595281306715068E-2"/>
    <n v="5"/>
    <d v="1899-12-30T16:31:00"/>
    <d v="1899-12-30T17:14:00"/>
    <d v="1899-12-30T00:43:00"/>
    <n v="43"/>
    <s v="1554 Granite Rapids Drive"/>
    <m/>
    <x v="0"/>
    <x v="0"/>
    <x v="0"/>
    <s v="No"/>
  </r>
  <r>
    <n v="981"/>
    <x v="144"/>
    <s v="Saturday"/>
    <s v="Same"/>
    <n v="27.82"/>
    <n v="3"/>
    <n v="0.10783608914450035"/>
    <n v="5"/>
    <d v="1899-12-30T18:14:00"/>
    <d v="1899-12-30T18:58:00"/>
    <d v="1899-12-30T00:44:00"/>
    <n v="44"/>
    <s v="4389 Siena Drive"/>
    <m/>
    <x v="0"/>
    <x v="0"/>
    <x v="0"/>
    <s v="No"/>
  </r>
  <r>
    <n v="982"/>
    <x v="144"/>
    <s v="Saturday"/>
    <s v="Same"/>
    <n v="27.28"/>
    <n v="7.72"/>
    <n v="0.28299120234604103"/>
    <n v="5"/>
    <d v="1899-12-30T18:32:00"/>
    <d v="1899-12-30T19:11:00"/>
    <d v="1899-12-30T00:39:00"/>
    <n v="39"/>
    <s v="1756 Prairie Creek Trail"/>
    <m/>
    <x v="0"/>
    <x v="0"/>
    <x v="0"/>
    <s v="No"/>
  </r>
  <r>
    <n v="983"/>
    <x v="144"/>
    <s v="Saturday"/>
    <s v="Same"/>
    <n v="51.64"/>
    <n v="7"/>
    <n v="0.13555383423702555"/>
    <n v="1.5"/>
    <d v="1899-12-30T18:31:00"/>
    <d v="1899-12-30T19:38:00"/>
    <d v="1899-12-30T01:07:00"/>
    <n v="67"/>
    <s v="5275 Town and Country Blvd"/>
    <n v="2424"/>
    <x v="0"/>
    <x v="0"/>
    <x v="1"/>
    <s v="No"/>
  </r>
  <r>
    <n v="984"/>
    <x v="145"/>
    <s v="Sunday"/>
    <s v="Different"/>
    <n v="106.41"/>
    <n v="20"/>
    <n v="0.18795226012592803"/>
    <n v="1.5"/>
    <d v="1899-12-30T17:12:00"/>
    <d v="1899-12-30T18:01:00"/>
    <d v="1899-12-30T00:49:00"/>
    <n v="49"/>
    <s v="5925 Longo Drive"/>
    <m/>
    <x v="3"/>
    <x v="0"/>
    <x v="0"/>
    <s v="No"/>
  </r>
  <r>
    <n v="985"/>
    <x v="145"/>
    <s v="Sunday"/>
    <s v="Same"/>
    <n v="52.93"/>
    <n v="10"/>
    <n v="0.1889287738522577"/>
    <n v="5"/>
    <d v="1899-12-30T17:09:00"/>
    <d v="1899-12-30T18:13:00"/>
    <d v="1899-12-30T01:04:00"/>
    <n v="64"/>
    <s v="6 Walden Court"/>
    <m/>
    <x v="3"/>
    <x v="0"/>
    <x v="0"/>
    <s v="No"/>
  </r>
  <r>
    <n v="986"/>
    <x v="145"/>
    <s v="Sunday"/>
    <s v="Same"/>
    <n v="35.07"/>
    <n v="3"/>
    <n v="8.5543199315654406E-2"/>
    <n v="1.5"/>
    <d v="1899-12-30T18:34:00"/>
    <d v="1899-12-30T19:07:00"/>
    <d v="1899-12-30T00:33:00"/>
    <n v="33"/>
    <s v="7109 Falling Water Court"/>
    <m/>
    <x v="2"/>
    <x v="0"/>
    <x v="0"/>
    <s v="No"/>
  </r>
  <r>
    <n v="987"/>
    <x v="145"/>
    <s v="Sunday"/>
    <s v="Same"/>
    <n v="29.99"/>
    <n v="8.01"/>
    <n v="0.26708902967655884"/>
    <n v="1.5"/>
    <d v="1899-12-30T19:45:00"/>
    <d v="1899-12-30T19:45:00"/>
    <d v="1899-12-30T00:00:00"/>
    <n v="0"/>
    <s v="11 Cyprus Point Court"/>
    <m/>
    <x v="0"/>
    <x v="1"/>
    <x v="0"/>
    <s v="Yes"/>
  </r>
  <r>
    <n v="988"/>
    <x v="145"/>
    <s v="Sunday"/>
    <s v="Same"/>
    <n v="38.92"/>
    <n v="3.08"/>
    <n v="7.9136690647482008E-2"/>
    <n v="1.5"/>
    <d v="1899-12-30T19:17:00"/>
    <d v="1899-12-30T19:52:00"/>
    <d v="1899-12-30T00:35:00"/>
    <n v="35"/>
    <s v="5980 Dustin Trail"/>
    <m/>
    <x v="0"/>
    <x v="0"/>
    <x v="0"/>
    <s v="No"/>
  </r>
  <r>
    <n v="989"/>
    <x v="145"/>
    <s v="Sunday"/>
    <s v="Same"/>
    <n v="16.18"/>
    <n v="3"/>
    <n v="0.18541409147095181"/>
    <n v="1.5"/>
    <d v="1899-12-30T19:26:00"/>
    <d v="1899-12-30T20:00:00"/>
    <d v="1899-12-30T00:34:00"/>
    <n v="34"/>
    <s v="6321 Norwood Drive"/>
    <m/>
    <x v="0"/>
    <x v="0"/>
    <x v="0"/>
    <s v="No"/>
  </r>
  <r>
    <n v="990"/>
    <x v="146"/>
    <s v="Friday"/>
    <s v="Different"/>
    <n v="45.41"/>
    <n v="5"/>
    <n v="0.11010790574763268"/>
    <n v="5"/>
    <d v="1899-12-30T16:51:00"/>
    <d v="1899-12-30T17:33:00"/>
    <d v="1899-12-30T00:42:00"/>
    <n v="42"/>
    <s v="11448 Altamont Drive"/>
    <m/>
    <x v="0"/>
    <x v="0"/>
    <x v="0"/>
    <s v="No"/>
  </r>
  <r>
    <n v="991"/>
    <x v="146"/>
    <s v="Friday"/>
    <s v="Same"/>
    <n v="51.31"/>
    <n v="5"/>
    <n v="9.7446891444162922E-2"/>
    <n v="5"/>
    <d v="1899-12-30T18:30:00"/>
    <d v="1899-12-30T18:30:00"/>
    <d v="1899-12-30T00:00:00"/>
    <n v="0"/>
    <s v="1105 Damsel Caitlyn Drive"/>
    <m/>
    <x v="1"/>
    <x v="0"/>
    <x v="0"/>
    <s v="Yes"/>
  </r>
  <r>
    <n v="992"/>
    <x v="146"/>
    <s v="Friday"/>
    <s v="Same"/>
    <n v="44.6"/>
    <n v="5"/>
    <n v="0.11210762331838564"/>
    <n v="5"/>
    <d v="1899-12-30T18:41:00"/>
    <d v="1899-12-30T19:21:00"/>
    <d v="1899-12-30T00:40:00"/>
    <n v="40"/>
    <s v="12249 Lazio Lane"/>
    <m/>
    <x v="0"/>
    <x v="0"/>
    <x v="0"/>
    <s v="No"/>
  </r>
  <r>
    <n v="993"/>
    <x v="147"/>
    <s v="Sunday"/>
    <s v="Different"/>
    <n v="22.49"/>
    <n v="3"/>
    <n v="0.13339261894175189"/>
    <n v="1.5"/>
    <d v="1899-12-30T17:16:00"/>
    <d v="1899-12-30T18:17:00"/>
    <d v="1899-12-30T01:01:00"/>
    <n v="61"/>
    <s v="5500 Frisco Square Blvd"/>
    <m/>
    <x v="0"/>
    <x v="0"/>
    <x v="3"/>
    <s v="No"/>
  </r>
  <r>
    <n v="994"/>
    <x v="147"/>
    <s v="Sunday"/>
    <s v="Same"/>
    <n v="87.74"/>
    <n v="15.26"/>
    <n v="0.17392295418281287"/>
    <n v="1.5"/>
    <d v="1899-12-30T17:29:00"/>
    <d v="1899-12-30T18:34:00"/>
    <d v="1899-12-30T01:05:00"/>
    <n v="65"/>
    <s v="5722 Ridgeland Drive"/>
    <m/>
    <x v="0"/>
    <x v="0"/>
    <x v="0"/>
    <s v="No"/>
  </r>
  <r>
    <n v="995"/>
    <x v="147"/>
    <s v="Sunday"/>
    <s v="Same"/>
    <n v="46.55"/>
    <n v="9"/>
    <n v="0.1933404940923738"/>
    <n v="1.5"/>
    <d v="1899-12-30T17:35:00"/>
    <d v="1899-12-30T18:45:00"/>
    <d v="1899-12-30T01:10:00"/>
    <n v="70"/>
    <s v="5582 Buena Vista Drive"/>
    <m/>
    <x v="0"/>
    <x v="0"/>
    <x v="0"/>
    <s v="No"/>
  </r>
  <r>
    <n v="996"/>
    <x v="147"/>
    <s v="Sunday"/>
    <s v="Same"/>
    <n v="77.56"/>
    <n v="5"/>
    <n v="6.4466219700876737E-2"/>
    <n v="5"/>
    <d v="1899-12-30T18:56:00"/>
    <d v="1899-12-30T19:32:00"/>
    <d v="1899-12-30T00:36:00"/>
    <n v="36"/>
    <s v="2160 Wilderness Court"/>
    <m/>
    <x v="0"/>
    <x v="0"/>
    <x v="0"/>
    <s v="No"/>
  </r>
  <r>
    <n v="997"/>
    <x v="147"/>
    <s v="Sunday"/>
    <s v="Same"/>
    <n v="23.54"/>
    <n v="4"/>
    <n v="0.16992353440951571"/>
    <n v="5"/>
    <d v="1899-12-30T18:57:00"/>
    <d v="1899-12-30T19:47:00"/>
    <d v="1899-12-30T00:50:00"/>
    <n v="50"/>
    <s v="5594 Beacon Hill Drive"/>
    <m/>
    <x v="0"/>
    <x v="0"/>
    <x v="0"/>
    <s v="No"/>
  </r>
  <r>
    <n v="998"/>
    <x v="147"/>
    <s v="Sunday"/>
    <s v="Same"/>
    <n v="38.1"/>
    <n v="10"/>
    <n v="0.26246719160104987"/>
    <n v="1.5"/>
    <d v="1899-12-30T18:58:00"/>
    <d v="1899-12-30T19:59:00"/>
    <d v="1899-12-30T01:01:00"/>
    <n v="61"/>
    <s v="5652 Monterey Drive"/>
    <m/>
    <x v="0"/>
    <x v="2"/>
    <x v="0"/>
    <s v="No"/>
  </r>
  <r>
    <n v="999"/>
    <x v="147"/>
    <s v="Sunday"/>
    <s v="Same"/>
    <n v="47.52"/>
    <n v="5"/>
    <n v="0.10521885521885521"/>
    <n v="1.5"/>
    <d v="1899-12-30T19:57:00"/>
    <d v="1899-12-30T20:33:00"/>
    <d v="1899-12-30T00:36:00"/>
    <n v="36"/>
    <s v="8369 Stone River Drive"/>
    <m/>
    <x v="0"/>
    <x v="0"/>
    <x v="0"/>
    <s v="No"/>
  </r>
  <r>
    <n v="1000"/>
    <x v="147"/>
    <s v="Sunday"/>
    <s v="Same"/>
    <n v="39.19"/>
    <n v="4"/>
    <n v="0.10206685378923196"/>
    <n v="1.5"/>
    <d v="1899-12-30T20:03:00"/>
    <d v="1899-12-30T20:43:00"/>
    <d v="1899-12-30T00:40:00"/>
    <n v="40"/>
    <s v="7929 Whitehart Street"/>
    <m/>
    <x v="0"/>
    <x v="0"/>
    <x v="0"/>
    <s v="No"/>
  </r>
  <r>
    <n v="1001"/>
    <x v="148"/>
    <s v="Monday"/>
    <s v="Different"/>
    <n v="32.69"/>
    <n v="3.31"/>
    <n v="0.10125420617925972"/>
    <n v="1.5"/>
    <d v="1899-12-30T18:35:00"/>
    <d v="1899-12-30T19:11:00"/>
    <d v="1899-12-30T00:36:00"/>
    <n v="36"/>
    <s v="4631 Pine Valley Drive"/>
    <m/>
    <x v="0"/>
    <x v="0"/>
    <x v="0"/>
    <s v="No"/>
  </r>
  <r>
    <n v="1002"/>
    <x v="148"/>
    <s v="Monday"/>
    <s v="Same"/>
    <n v="29.77"/>
    <n v="5.23"/>
    <n v="0.17568021498152503"/>
    <n v="1.5"/>
    <d v="1899-12-30T18:50:00"/>
    <d v="1899-12-30T19:17:00"/>
    <d v="1899-12-30T00:27:00"/>
    <n v="26.999999999999996"/>
    <s v="4600 Biltmoore Drive"/>
    <m/>
    <x v="0"/>
    <x v="0"/>
    <x v="0"/>
    <s v="No"/>
  </r>
  <r>
    <n v="1003"/>
    <x v="148"/>
    <s v="Monday"/>
    <s v="Same"/>
    <n v="68.09"/>
    <n v="15"/>
    <n v="0.22029666617711852"/>
    <n v="1.5"/>
    <d v="1899-12-30T19:47:00"/>
    <d v="1899-12-30T20:24:00"/>
    <d v="1899-12-30T00:37:00"/>
    <n v="37"/>
    <s v="5318 Cattail Court"/>
    <m/>
    <x v="0"/>
    <x v="2"/>
    <x v="0"/>
    <s v="No"/>
  </r>
  <r>
    <n v="1004"/>
    <x v="148"/>
    <s v="Monday"/>
    <s v="Same"/>
    <n v="70.69"/>
    <n v="19.309999999999999"/>
    <n v="0.27316452114867734"/>
    <n v="1.5"/>
    <d v="1899-12-30T19:48:00"/>
    <d v="1899-12-30T20:32:00"/>
    <d v="1899-12-30T00:44:00"/>
    <n v="44"/>
    <s v="6142 Cove Creek Lane"/>
    <m/>
    <x v="0"/>
    <x v="2"/>
    <x v="0"/>
    <s v="No"/>
  </r>
  <r>
    <n v="1005"/>
    <x v="148"/>
    <s v="Monday"/>
    <s v="Same"/>
    <n v="33.83"/>
    <n v="26.17"/>
    <n v="0.7735737511084837"/>
    <n v="1.5"/>
    <d v="1899-12-30T20:14:00"/>
    <d v="1899-12-30T20:58:00"/>
    <d v="1899-12-30T00:44:00"/>
    <n v="44"/>
    <s v="2356 Chelsea Drive"/>
    <m/>
    <x v="0"/>
    <x v="0"/>
    <x v="0"/>
    <s v="No"/>
  </r>
  <r>
    <n v="1006"/>
    <x v="148"/>
    <s v="Monday"/>
    <s v="Same"/>
    <n v="20.239999999999998"/>
    <n v="4.76"/>
    <n v="0.23517786561264822"/>
    <n v="1.5"/>
    <d v="1899-12-30T20:29:00"/>
    <d v="1899-12-30T21:10:00"/>
    <d v="1899-12-30T00:41:00"/>
    <n v="41"/>
    <s v="7169 Pecan Chase Lane"/>
    <m/>
    <x v="0"/>
    <x v="0"/>
    <x v="0"/>
    <s v="No"/>
  </r>
  <r>
    <n v="1007"/>
    <x v="148"/>
    <s v="Monday"/>
    <s v="Same"/>
    <n v="16.18"/>
    <n v="4"/>
    <n v="0.24721878862793573"/>
    <n v="1.5"/>
    <d v="1899-12-30T21:15:00"/>
    <d v="1899-12-30T21:49:00"/>
    <d v="1899-12-30T00:34:00"/>
    <n v="34"/>
    <s v="6321 Norwood Drive"/>
    <m/>
    <x v="0"/>
    <x v="0"/>
    <x v="0"/>
    <s v="No"/>
  </r>
  <r>
    <n v="1008"/>
    <x v="148"/>
    <s v="Monday"/>
    <s v="Same"/>
    <n v="28.09"/>
    <n v="6"/>
    <n v="0.21359914560341758"/>
    <n v="5"/>
    <d v="1899-12-30T21:24:00"/>
    <d v="1899-12-30T22:08:00"/>
    <d v="1899-12-30T00:44:00"/>
    <n v="44"/>
    <s v="9705 Royal Lytham Drive"/>
    <m/>
    <x v="2"/>
    <x v="0"/>
    <x v="0"/>
    <s v="No"/>
  </r>
  <r>
    <n v="1009"/>
    <x v="149"/>
    <s v="Friday"/>
    <s v="Different"/>
    <n v="51.09"/>
    <n v="8"/>
    <n v="0.15658641612840085"/>
    <n v="1.5"/>
    <d v="1899-12-30T17:44:00"/>
    <d v="1899-12-30T18:29:00"/>
    <d v="1899-12-30T00:45:00"/>
    <n v="45"/>
    <s v="5225 Town and Country Blvd"/>
    <n v="308"/>
    <x v="0"/>
    <x v="0"/>
    <x v="1"/>
    <s v="No"/>
  </r>
  <r>
    <n v="1010"/>
    <x v="149"/>
    <s v="Friday"/>
    <s v="Same"/>
    <n v="36.479999999999997"/>
    <n v="8"/>
    <n v="0.2192982456140351"/>
    <n v="5"/>
    <d v="1899-12-30T17:44:00"/>
    <d v="1899-12-30T18:45:00"/>
    <d v="1899-12-30T01:01:00"/>
    <n v="61"/>
    <s v="2054 Kennedy Drive"/>
    <m/>
    <x v="0"/>
    <x v="5"/>
    <x v="0"/>
    <s v="No"/>
  </r>
  <r>
    <n v="1011"/>
    <x v="149"/>
    <s v="Friday"/>
    <s v="Same"/>
    <n v="29.66"/>
    <n v="5"/>
    <n v="0.16857720836142953"/>
    <n v="5"/>
    <d v="1899-12-30T17:49:00"/>
    <d v="1899-12-30T18:55:00"/>
    <d v="1899-12-30T01:06:00"/>
    <n v="66"/>
    <s v="4580 Twisting Trail"/>
    <m/>
    <x v="0"/>
    <x v="0"/>
    <x v="0"/>
    <s v="No"/>
  </r>
  <r>
    <n v="1012"/>
    <x v="149"/>
    <s v="Friday"/>
    <s v="Same"/>
    <n v="46.71"/>
    <n v="5"/>
    <n v="0.10704345964461572"/>
    <n v="5"/>
    <d v="1899-12-30T18:50:00"/>
    <d v="1899-12-30T18:50:00"/>
    <d v="1899-12-30T00:00:00"/>
    <n v="0"/>
    <s v="3923 Harbor Drive"/>
    <m/>
    <x v="3"/>
    <x v="0"/>
    <x v="0"/>
    <s v="No"/>
  </r>
  <r>
    <n v="1013"/>
    <x v="149"/>
    <s v="Friday"/>
    <s v="Same"/>
    <n v="55.21"/>
    <n v="19"/>
    <n v="0.34414055424741896"/>
    <n v="1.5"/>
    <d v="1899-12-30T18:59:00"/>
    <d v="1899-12-30T19:50:00"/>
    <d v="1899-12-30T00:51:00"/>
    <n v="51"/>
    <s v="6805 Lebanon Road"/>
    <n v="1112"/>
    <x v="0"/>
    <x v="0"/>
    <x v="1"/>
    <s v="No"/>
  </r>
  <r>
    <n v="1014"/>
    <x v="149"/>
    <s v="Friday"/>
    <s v="Same"/>
    <n v="66.739999999999995"/>
    <n v="12"/>
    <n v="0.17980221756068326"/>
    <n v="1.5"/>
    <d v="1899-12-30T19:13:00"/>
    <d v="1899-12-30T20:07:00"/>
    <d v="1899-12-30T00:54:00"/>
    <n v="53.999999999999993"/>
    <s v="1052 Stampede Drive"/>
    <m/>
    <x v="0"/>
    <x v="0"/>
    <x v="0"/>
    <s v="No"/>
  </r>
  <r>
    <n v="1015"/>
    <x v="150"/>
    <s v="Saturday"/>
    <s v="Different"/>
    <n v="34.32"/>
    <n v="8"/>
    <n v="0.23310023310023309"/>
    <n v="1.5"/>
    <d v="1899-12-30T17:11:00"/>
    <d v="1899-12-30T17:45:00"/>
    <d v="1899-12-30T00:34:00"/>
    <n v="34"/>
    <s v="4526 Oak Shores Drive"/>
    <m/>
    <x v="2"/>
    <x v="0"/>
    <x v="0"/>
    <s v="No"/>
  </r>
  <r>
    <n v="1016"/>
    <x v="150"/>
    <s v="Saturday"/>
    <s v="Same"/>
    <n v="52.12"/>
    <n v="3"/>
    <n v="5.7559478127398311E-2"/>
    <n v="1.5"/>
    <d v="1899-12-30T18:48:00"/>
    <d v="1899-12-30T19:21:00"/>
    <d v="1899-12-30T00:33:00"/>
    <n v="33"/>
    <s v="3112 Vidalia Lane"/>
    <m/>
    <x v="2"/>
    <x v="0"/>
    <x v="0"/>
    <s v="No"/>
  </r>
  <r>
    <n v="1017"/>
    <x v="150"/>
    <s v="Saturday"/>
    <s v="Same"/>
    <n v="18.399999999999999"/>
    <n v="5"/>
    <n v="0.27173913043478265"/>
    <n v="1.5"/>
    <d v="1899-12-30T18:52:00"/>
    <d v="1899-12-30T19:46:00"/>
    <d v="1899-12-30T00:54:00"/>
    <n v="53.999999999999993"/>
    <s v="5761 Robbie Road"/>
    <n v="3304"/>
    <x v="2"/>
    <x v="0"/>
    <x v="1"/>
    <s v="No"/>
  </r>
  <r>
    <n v="1018"/>
    <x v="151"/>
    <s v="Sunday"/>
    <s v="Different"/>
    <n v="116.21"/>
    <n v="18"/>
    <n v="0.15489200585147578"/>
    <n v="1.5"/>
    <d v="1899-12-30T18:00:00"/>
    <d v="1899-12-30T18:35:00"/>
    <d v="1899-12-30T00:35:00"/>
    <n v="35"/>
    <s v="10700 Tree Shadow Lane"/>
    <m/>
    <x v="0"/>
    <x v="0"/>
    <x v="0"/>
    <s v="No"/>
  </r>
  <r>
    <n v="1019"/>
    <x v="151"/>
    <s v="Sunday"/>
    <s v="Same"/>
    <n v="65.87"/>
    <n v="15"/>
    <n v="0.22772126916654015"/>
    <n v="1.5"/>
    <d v="1899-12-30T19:05:00"/>
    <d v="1899-12-30T19:32:00"/>
    <d v="1899-12-30T00:27:00"/>
    <n v="26.999999999999996"/>
    <s v="7 Post N Paddock "/>
    <m/>
    <x v="0"/>
    <x v="0"/>
    <x v="0"/>
    <s v="No"/>
  </r>
  <r>
    <n v="1020"/>
    <x v="151"/>
    <s v="Sunday"/>
    <s v="Same"/>
    <n v="21.65"/>
    <n v="4"/>
    <n v="0.18475750577367206"/>
    <n v="1.5"/>
    <d v="1899-12-30T19:46:00"/>
    <d v="1899-12-30T20:22:00"/>
    <d v="1899-12-30T00:36:00"/>
    <n v="36"/>
    <s v="7511 Wright Drive"/>
    <m/>
    <x v="0"/>
    <x v="0"/>
    <x v="0"/>
    <s v="No"/>
  </r>
  <r>
    <n v="1021"/>
    <x v="151"/>
    <s v="Sunday"/>
    <s v="Same"/>
    <n v="39.51"/>
    <n v="6"/>
    <n v="0.15186028853454822"/>
    <n v="1.5"/>
    <d v="1899-12-30T20:34:00"/>
    <d v="1899-12-30T21:07:00"/>
    <d v="1899-12-30T00:33:00"/>
    <n v="33"/>
    <s v="8400 Hickory Street"/>
    <n v="4402"/>
    <x v="0"/>
    <x v="0"/>
    <x v="1"/>
    <s v="No"/>
  </r>
  <r>
    <n v="1022"/>
    <x v="152"/>
    <s v="Friday"/>
    <s v="Different"/>
    <n v="42.06"/>
    <n v="5"/>
    <n v="0.11887779362815025"/>
    <n v="1.5"/>
    <d v="1899-12-30T16:55:00"/>
    <d v="1899-12-30T17:27:00"/>
    <d v="1899-12-30T00:32:00"/>
    <n v="32"/>
    <s v="7606 Cordova Drive"/>
    <m/>
    <x v="0"/>
    <x v="0"/>
    <x v="0"/>
    <s v="No"/>
  </r>
  <r>
    <n v="1023"/>
    <x v="152"/>
    <s v="Friday"/>
    <s v="Same"/>
    <n v="55.15"/>
    <n v="5"/>
    <n v="9.0661831368993653E-2"/>
    <n v="1.5"/>
    <d v="1899-12-30T16:56:00"/>
    <d v="1899-12-30T17:37:00"/>
    <d v="1899-12-30T00:41:00"/>
    <n v="41"/>
    <s v="10800 Dry Creek Lane"/>
    <m/>
    <x v="0"/>
    <x v="0"/>
    <x v="0"/>
    <s v="No"/>
  </r>
  <r>
    <n v="1024"/>
    <x v="152"/>
    <s v="Friday"/>
    <s v="Same"/>
    <n v="71.72"/>
    <n v="9"/>
    <n v="0.12548800892359174"/>
    <n v="1.5"/>
    <d v="1899-12-30T17:40:00"/>
    <d v="1899-12-30T18:35:00"/>
    <d v="1899-12-30T00:55:00"/>
    <n v="54.999999999999993"/>
    <s v="9761 Bell Rock Road"/>
    <m/>
    <x v="0"/>
    <x v="0"/>
    <x v="0"/>
    <s v="No"/>
  </r>
  <r>
    <n v="1025"/>
    <x v="152"/>
    <s v="Friday"/>
    <s v="Same"/>
    <n v="32.479999999999997"/>
    <n v="8"/>
    <n v="0.24630541871921185"/>
    <n v="1.5"/>
    <d v="1899-12-30T17:40:00"/>
    <d v="1899-12-30T18:22:00"/>
    <d v="1899-12-30T00:42:00"/>
    <n v="42"/>
    <s v="2875 Parkwood Blvd"/>
    <n v="308"/>
    <x v="0"/>
    <x v="0"/>
    <x v="2"/>
    <s v="No"/>
  </r>
  <r>
    <n v="1026"/>
    <x v="152"/>
    <s v="Friday"/>
    <s v="Same"/>
    <n v="27.82"/>
    <n v="4.17"/>
    <n v="0.1498921639108555"/>
    <n v="1.5"/>
    <d v="1899-12-30T17:44:00"/>
    <d v="1899-12-30T18:43:00"/>
    <d v="1899-12-30T00:59:00"/>
    <n v="59"/>
    <s v="11816 Woodland Way"/>
    <m/>
    <x v="0"/>
    <x v="0"/>
    <x v="0"/>
    <s v="No"/>
  </r>
  <r>
    <n v="1027"/>
    <x v="152"/>
    <s v="Friday"/>
    <s v="Same"/>
    <n v="57.59"/>
    <n v="5"/>
    <n v="8.6820628581350923E-2"/>
    <n v="5"/>
    <d v="1899-12-30T17:59:00"/>
    <d v="1899-12-30T18:56:00"/>
    <d v="1899-12-30T00:57:00"/>
    <n v="57"/>
    <s v="11042 Abercrombie Trail"/>
    <m/>
    <x v="0"/>
    <x v="0"/>
    <x v="0"/>
    <s v="No"/>
  </r>
  <r>
    <n v="1028"/>
    <x v="152"/>
    <s v="Friday"/>
    <s v="Same"/>
    <n v="67.17"/>
    <n v="10"/>
    <n v="0.14887598630340926"/>
    <n v="1.5"/>
    <d v="1899-12-30T19:05:00"/>
    <d v="1899-12-30T19:50:00"/>
    <d v="1899-12-30T00:45:00"/>
    <n v="45"/>
    <s v="3828 Bonita Drive"/>
    <m/>
    <x v="2"/>
    <x v="0"/>
    <x v="0"/>
    <s v="No"/>
  </r>
  <r>
    <n v="1029"/>
    <x v="152"/>
    <s v="Friday"/>
    <s v="Same"/>
    <n v="44.92"/>
    <n v="10"/>
    <n v="0.22261798753339268"/>
    <n v="5"/>
    <d v="1899-12-30T19:10:00"/>
    <d v="1899-12-30T20:00:00"/>
    <d v="1899-12-30T00:50:00"/>
    <n v="50"/>
    <s v="8105 Alderwood Drive"/>
    <m/>
    <x v="2"/>
    <x v="0"/>
    <x v="0"/>
    <s v="No"/>
  </r>
  <r>
    <n v="1030"/>
    <x v="152"/>
    <s v="Friday"/>
    <s v="Same"/>
    <n v="28.36"/>
    <n v="6"/>
    <n v="0.21156558533145275"/>
    <n v="5"/>
    <d v="1899-12-30T20:03:00"/>
    <d v="1899-12-30T20:42:00"/>
    <d v="1899-12-30T00:39:00"/>
    <n v="39"/>
    <s v="2490 Pritchett Drive"/>
    <m/>
    <x v="0"/>
    <x v="0"/>
    <x v="0"/>
    <s v="No"/>
  </r>
  <r>
    <n v="1031"/>
    <x v="152"/>
    <s v="Friday"/>
    <s v="Same"/>
    <n v="27.01"/>
    <n v="5"/>
    <n v="0.18511662347278784"/>
    <n v="1.5"/>
    <d v="1899-12-30T21:25:00"/>
    <d v="1899-12-30T21:49:00"/>
    <d v="1899-12-30T00:24:00"/>
    <n v="24"/>
    <s v="3501 Estacado Lane"/>
    <m/>
    <x v="2"/>
    <x v="0"/>
    <x v="0"/>
    <s v="No"/>
  </r>
  <r>
    <n v="1032"/>
    <x v="153"/>
    <s v="Saturday"/>
    <s v="Different"/>
    <n v="68.63"/>
    <n v="12"/>
    <n v="0.17485064840448786"/>
    <n v="1.5"/>
    <d v="1899-12-30T17:44:00"/>
    <d v="1899-12-30T18:14:00"/>
    <d v="1899-12-30T00:30:00"/>
    <n v="30"/>
    <s v="8035 Oak Point Drive"/>
    <m/>
    <x v="0"/>
    <x v="0"/>
    <x v="0"/>
    <s v="No"/>
  </r>
  <r>
    <n v="1033"/>
    <x v="154"/>
    <s v="Sunday"/>
    <s v="Different"/>
    <n v="23.22"/>
    <n v="5"/>
    <n v="0.2153316106804479"/>
    <n v="1.5"/>
    <d v="1899-12-30T11:49:00"/>
    <d v="1899-12-30T12:18:00"/>
    <d v="1899-12-30T00:29:00"/>
    <n v="29.000000000000004"/>
    <s v="11341 Creekwood Drive"/>
    <m/>
    <x v="0"/>
    <x v="0"/>
    <x v="0"/>
    <s v="No"/>
  </r>
  <r>
    <n v="1034"/>
    <x v="154"/>
    <s v="Sunday"/>
    <s v="Same"/>
    <n v="46.49"/>
    <n v="10"/>
    <n v="0.21510002151000215"/>
    <n v="1.5"/>
    <d v="1899-12-30T12:54:00"/>
    <d v="1899-12-30T13:21:00"/>
    <d v="1899-12-30T00:27:00"/>
    <n v="26.999999999999996"/>
    <s v="5652 Monterey Drive"/>
    <m/>
    <x v="0"/>
    <x v="2"/>
    <x v="0"/>
    <s v="No"/>
  </r>
  <r>
    <n v="1035"/>
    <x v="154"/>
    <s v="Sunday"/>
    <s v="Same"/>
    <n v="20.57"/>
    <n v="5.43"/>
    <n v="0.26397666504618372"/>
    <n v="1.5"/>
    <d v="1899-12-30T13:19:00"/>
    <d v="1899-12-30T13:59:00"/>
    <d v="1899-12-30T00:40:00"/>
    <n v="40"/>
    <s v="5402 Quail Run Drive"/>
    <m/>
    <x v="0"/>
    <x v="2"/>
    <x v="0"/>
    <s v="No"/>
  </r>
  <r>
    <n v="1036"/>
    <x v="154"/>
    <s v="Sunday"/>
    <s v="Same"/>
    <n v="35.07"/>
    <n v="7"/>
    <n v="0.19960079840319361"/>
    <n v="1.5"/>
    <d v="1899-12-30T13:32:00"/>
    <d v="1899-12-30T14:04:00"/>
    <d v="1899-12-30T00:32:00"/>
    <n v="32"/>
    <s v="5942 Haley Way"/>
    <m/>
    <x v="0"/>
    <x v="2"/>
    <x v="0"/>
    <s v="No"/>
  </r>
  <r>
    <n v="1037"/>
    <x v="154"/>
    <s v="Sunday"/>
    <s v="Same"/>
    <n v="46.44"/>
    <n v="5"/>
    <n v="0.10766580534022395"/>
    <n v="1.5"/>
    <d v="1899-12-30T13:13:00"/>
    <d v="1899-12-30T14:12:00"/>
    <d v="1899-12-30T00:59:00"/>
    <n v="59"/>
    <s v="4999 Stillwater Trail"/>
    <m/>
    <x v="0"/>
    <x v="2"/>
    <x v="0"/>
    <s v="No"/>
  </r>
  <r>
    <n v="1038"/>
    <x v="154"/>
    <s v="Sunday"/>
    <s v="Same"/>
    <n v="38.92"/>
    <n v="8"/>
    <n v="0.20554984583761562"/>
    <n v="1.5"/>
    <d v="1899-12-30T13:36:00"/>
    <d v="1899-12-30T14:28:00"/>
    <d v="1899-12-30T00:52:00"/>
    <n v="52"/>
    <s v="6101 Windhaven Parkway"/>
    <n v="150"/>
    <x v="2"/>
    <x v="0"/>
    <x v="3"/>
    <s v="No"/>
  </r>
  <r>
    <n v="1039"/>
    <x v="154"/>
    <s v="Sunday"/>
    <s v="Same"/>
    <n v="17.54"/>
    <n v="4.46"/>
    <n v="0.25427594070695553"/>
    <n v="1.5"/>
    <d v="1899-12-30T13:51:00"/>
    <d v="1899-12-30T14:46:00"/>
    <d v="1899-12-30T00:55:00"/>
    <n v="54.999999999999993"/>
    <s v="5745 Bozeman Drive"/>
    <n v="8107"/>
    <x v="2"/>
    <x v="0"/>
    <x v="1"/>
    <s v="No"/>
  </r>
  <r>
    <n v="1040"/>
    <x v="154"/>
    <s v="Sunday"/>
    <s v="Same"/>
    <n v="54.83"/>
    <n v="4"/>
    <n v="7.2952763085901887E-2"/>
    <n v="1.5"/>
    <d v="1899-12-30T14:59:00"/>
    <d v="1899-12-30T15:24:00"/>
    <d v="1899-12-30T00:25:00"/>
    <n v="25"/>
    <s v="4592 Kentucky Drive"/>
    <m/>
    <x v="2"/>
    <x v="0"/>
    <x v="0"/>
    <s v="No"/>
  </r>
  <r>
    <n v="1041"/>
    <x v="154"/>
    <s v="Sunday"/>
    <s v="Same"/>
    <n v="26.74"/>
    <n v="5"/>
    <n v="0.18698578908002994"/>
    <n v="1.5"/>
    <d v="1899-12-30T16:13:00"/>
    <d v="1899-12-30T16:33:00"/>
    <d v="1899-12-30T00:20:00"/>
    <n v="20"/>
    <s v="5701 Scruggs Way"/>
    <n v="9305"/>
    <x v="2"/>
    <x v="0"/>
    <x v="1"/>
    <s v="No"/>
  </r>
  <r>
    <n v="1042"/>
    <x v="154"/>
    <s v="Sunday"/>
    <s v="Same"/>
    <n v="52.12"/>
    <n v="7"/>
    <n v="0.1343054489639294"/>
    <n v="1.5"/>
    <d v="1899-12-30T17:10:00"/>
    <d v="1899-12-30T17:40:00"/>
    <d v="1899-12-30T00:30:00"/>
    <n v="30"/>
    <s v="4008 Carmichael Drive"/>
    <m/>
    <x v="2"/>
    <x v="0"/>
    <x v="0"/>
    <s v="No"/>
  </r>
  <r>
    <n v="1043"/>
    <x v="154"/>
    <s v="Sunday"/>
    <s v="Same"/>
    <n v="18.350000000000001"/>
    <n v="5"/>
    <n v="0.27247956403269752"/>
    <n v="1.5"/>
    <d v="1899-12-30T17:13:00"/>
    <d v="1899-12-30T17:53:00"/>
    <d v="1899-12-30T00:40:00"/>
    <n v="40"/>
    <s v="6400 Windcrest Drive"/>
    <n v="1114"/>
    <x v="2"/>
    <x v="0"/>
    <x v="1"/>
    <s v="No"/>
  </r>
  <r>
    <n v="1044"/>
    <x v="154"/>
    <s v="Sunday"/>
    <s v="Same"/>
    <n v="111.5"/>
    <n v="25"/>
    <n v="0.22421524663677131"/>
    <n v="1.5"/>
    <d v="1899-12-30T17:54:00"/>
    <d v="1899-12-30T18:40:00"/>
    <d v="1899-12-30T00:46:00"/>
    <n v="46.000000000000007"/>
    <s v="5881 Arminta Avenue"/>
    <m/>
    <x v="0"/>
    <x v="2"/>
    <x v="0"/>
    <s v="No"/>
  </r>
  <r>
    <n v="1045"/>
    <x v="154"/>
    <s v="Sunday"/>
    <s v="Same"/>
    <n v="22.41"/>
    <n v="5"/>
    <n v="0.22311468094600626"/>
    <n v="1.5"/>
    <d v="1899-12-30T18:08:00"/>
    <d v="1899-12-30T18:45:00"/>
    <d v="1899-12-30T00:37:00"/>
    <n v="37"/>
    <s v="5101 Oak Knoll Lane"/>
    <m/>
    <x v="0"/>
    <x v="2"/>
    <x v="0"/>
    <s v="No"/>
  </r>
  <r>
    <n v="1046"/>
    <x v="154"/>
    <s v="Sunday"/>
    <s v="Same"/>
    <n v="19.97"/>
    <n v="4"/>
    <n v="0.20030045067601404"/>
    <n v="5"/>
    <d v="1899-12-30T18:11:00"/>
    <d v="1899-12-30T19:00:00"/>
    <d v="1899-12-30T00:49:00"/>
    <n v="49"/>
    <s v="595 Kimblewick Drive"/>
    <m/>
    <x v="0"/>
    <x v="0"/>
    <x v="0"/>
    <s v="No"/>
  </r>
  <r>
    <n v="1047"/>
    <x v="155"/>
    <s v="Saturday"/>
    <s v="Different"/>
    <n v="18.670000000000002"/>
    <n v="5"/>
    <n v="0.26780931976432776"/>
    <n v="1.5"/>
    <d v="1899-12-30T17:32:00"/>
    <d v="1899-12-30T18:03:00"/>
    <d v="1899-12-30T00:31:00"/>
    <n v="31.000000000000004"/>
    <s v="3150 Avenue of the Stars"/>
    <n v="2259"/>
    <x v="0"/>
    <x v="0"/>
    <x v="1"/>
    <s v="No"/>
  </r>
  <r>
    <n v="1048"/>
    <x v="155"/>
    <s v="Saturday"/>
    <s v="Same"/>
    <n v="47.52"/>
    <n v="5"/>
    <n v="0.10521885521885521"/>
    <n v="1.5"/>
    <d v="1899-12-30T18:40:00"/>
    <d v="1899-12-30T19:15:00"/>
    <d v="1899-12-30T00:35:00"/>
    <n v="35"/>
    <s v="5652 Perrin Street"/>
    <m/>
    <x v="3"/>
    <x v="0"/>
    <x v="0"/>
    <s v="No"/>
  </r>
  <r>
    <n v="1049"/>
    <x v="155"/>
    <s v="Saturday"/>
    <s v="Same"/>
    <n v="34.86"/>
    <n v="4"/>
    <n v="0.11474469305794607"/>
    <n v="1.5"/>
    <d v="1899-12-30T19:34:00"/>
    <d v="1899-12-30T20:04:00"/>
    <d v="1899-12-30T00:30:00"/>
    <n v="30"/>
    <s v="7008 Grand Hollow Drive"/>
    <m/>
    <x v="2"/>
    <x v="0"/>
    <x v="0"/>
    <s v="No"/>
  </r>
  <r>
    <n v="1050"/>
    <x v="155"/>
    <s v="Saturday"/>
    <s v="Same"/>
    <n v="58.08"/>
    <n v="5"/>
    <n v="8.6088154269972461E-2"/>
    <n v="1.5"/>
    <d v="1899-12-30T19:54:00"/>
    <d v="1899-12-30T20:42:00"/>
    <d v="1899-12-30T00:48:00"/>
    <n v="48"/>
    <s v="7600 Olive Branch Court"/>
    <m/>
    <x v="2"/>
    <x v="0"/>
    <x v="0"/>
    <s v="No"/>
  </r>
  <r>
    <n v="1051"/>
    <x v="156"/>
    <s v="Sunday"/>
    <s v="Different"/>
    <n v="34.32"/>
    <n v="6"/>
    <n v="0.17482517482517482"/>
    <n v="1.5"/>
    <d v="1899-12-30T17:15:00"/>
    <d v="1899-12-30T17:45:00"/>
    <d v="1899-12-30T00:30:00"/>
    <n v="30"/>
    <s v="5761 Robbie Road"/>
    <n v="3125"/>
    <x v="2"/>
    <x v="0"/>
    <x v="1"/>
    <s v="No"/>
  </r>
  <r>
    <n v="1052"/>
    <x v="156"/>
    <s v="Sunday"/>
    <s v="Same"/>
    <n v="20.78"/>
    <n v="2"/>
    <n v="9.6246390760346481E-2"/>
    <n v="1.5"/>
    <d v="1899-12-30T18:22:00"/>
    <d v="1899-12-30T18:54:00"/>
    <d v="1899-12-30T00:32:00"/>
    <n v="32"/>
    <s v="6834 Massa Lane"/>
    <m/>
    <x v="0"/>
    <x v="0"/>
    <x v="0"/>
    <s v="No"/>
  </r>
  <r>
    <n v="1053"/>
    <x v="156"/>
    <s v="Sunday"/>
    <s v="Same"/>
    <n v="31.83"/>
    <n v="6"/>
    <n v="0.18850141376060323"/>
    <n v="5"/>
    <d v="1899-12-30T18:26:00"/>
    <d v="1899-12-30T19:05:00"/>
    <d v="1899-12-30T00:39:00"/>
    <n v="39"/>
    <s v="4185 Syndey Drive"/>
    <m/>
    <x v="0"/>
    <x v="0"/>
    <x v="0"/>
    <s v="No"/>
  </r>
  <r>
    <n v="1054"/>
    <x v="156"/>
    <s v="Sunday"/>
    <s v="Same"/>
    <n v="33.18"/>
    <n v="7"/>
    <n v="0.2109704641350211"/>
    <n v="1.5"/>
    <d v="1899-12-30T19:14:00"/>
    <d v="1899-12-30T19:48:00"/>
    <d v="1899-12-30T00:34:00"/>
    <n v="34"/>
    <s v="5001 Whitestone Lane"/>
    <m/>
    <x v="2"/>
    <x v="0"/>
    <x v="0"/>
    <s v="No"/>
  </r>
  <r>
    <n v="1055"/>
    <x v="157"/>
    <s v="Friday"/>
    <s v="Different"/>
    <n v="59.65"/>
    <n v="10"/>
    <n v="0.16764459346186086"/>
    <n v="1.5"/>
    <d v="1899-12-30T17:45:00"/>
    <d v="1899-12-30T18:13:00"/>
    <d v="1899-12-30T00:28:00"/>
    <n v="28"/>
    <s v="6645 Whispering Woods Court"/>
    <m/>
    <x v="2"/>
    <x v="0"/>
    <x v="0"/>
    <s v="No"/>
  </r>
  <r>
    <n v="1056"/>
    <x v="157"/>
    <s v="Friday"/>
    <s v="Same"/>
    <n v="27.55"/>
    <n v="15.45"/>
    <n v="0.56079854809437379"/>
    <n v="5"/>
    <d v="1899-12-30T18:45:00"/>
    <d v="1899-12-30T19:13:00"/>
    <d v="1899-12-30T00:28:00"/>
    <n v="28"/>
    <s v="8061 Hillside Drive"/>
    <m/>
    <x v="0"/>
    <x v="0"/>
    <x v="0"/>
    <s v="No"/>
  </r>
  <r>
    <n v="1057"/>
    <x v="157"/>
    <s v="Friday"/>
    <s v="Same"/>
    <n v="47.25"/>
    <n v="5"/>
    <n v="0.10582010582010581"/>
    <n v="1.5"/>
    <d v="1899-12-30T19:21:00"/>
    <d v="1899-12-30T19:55:00"/>
    <d v="1899-12-30T00:34:00"/>
    <n v="34"/>
    <s v="7600 John Q Hammons Blvd"/>
    <n v="825"/>
    <x v="0"/>
    <x v="0"/>
    <x v="2"/>
    <s v="No"/>
  </r>
  <r>
    <n v="1058"/>
    <x v="157"/>
    <s v="Friday"/>
    <s v="Same"/>
    <n v="49.74"/>
    <n v="7"/>
    <n v="0.14073180538801769"/>
    <n v="5"/>
    <d v="1899-12-30T19:25:00"/>
    <d v="1899-12-30T20:17:00"/>
    <d v="1899-12-30T00:52:00"/>
    <n v="52"/>
    <s v="11940 Bamberg Lane"/>
    <m/>
    <x v="0"/>
    <x v="0"/>
    <x v="0"/>
    <s v="No"/>
  </r>
  <r>
    <n v="1059"/>
    <x v="157"/>
    <s v="Friday"/>
    <s v="Same"/>
    <n v="37.35"/>
    <n v="7.65"/>
    <n v="0.20481927710843373"/>
    <n v="5"/>
    <d v="1899-12-30T20:43:00"/>
    <d v="1899-12-30T21:20:00"/>
    <d v="1899-12-30T00:37:00"/>
    <n v="37"/>
    <s v="9305 Dark Forest Lane"/>
    <m/>
    <x v="2"/>
    <x v="0"/>
    <x v="0"/>
    <s v="No"/>
  </r>
  <r>
    <n v="1060"/>
    <x v="158"/>
    <s v="Saturday"/>
    <s v="Different"/>
    <n v="30.26"/>
    <n v="9.74"/>
    <n v="0.32187706543291472"/>
    <n v="1.5"/>
    <d v="1899-12-30T17:18:00"/>
    <d v="1899-12-30T17:41:00"/>
    <d v="1899-12-30T00:23:00"/>
    <n v="23.000000000000004"/>
    <s v="6821 Labelle Court"/>
    <m/>
    <x v="2"/>
    <x v="0"/>
    <x v="0"/>
    <s v="No"/>
  </r>
  <r>
    <n v="1061"/>
    <x v="158"/>
    <s v="Saturday"/>
    <s v="Same"/>
    <n v="21.05"/>
    <n v="2"/>
    <n v="9.5011876484560567E-2"/>
    <n v="5"/>
    <d v="1899-12-30T18:00:00"/>
    <d v="1899-12-30T18:20:00"/>
    <d v="1899-12-30T00:20:00"/>
    <n v="20"/>
    <s v="2516 Timber Cove Lane"/>
    <m/>
    <x v="2"/>
    <x v="0"/>
    <x v="0"/>
    <s v="No"/>
  </r>
  <r>
    <n v="1062"/>
    <x v="158"/>
    <s v="Saturday"/>
    <s v="Same"/>
    <n v="33.020000000000003"/>
    <n v="8.98"/>
    <n v="0.27195639006662625"/>
    <n v="1.5"/>
    <d v="1899-12-30T19:13:00"/>
    <d v="1899-12-30T19:42:00"/>
    <d v="1899-12-30T00:29:00"/>
    <n v="29.000000000000004"/>
    <s v="3312 Westwind Drive"/>
    <m/>
    <x v="2"/>
    <x v="0"/>
    <x v="0"/>
    <s v="No"/>
  </r>
  <r>
    <n v="1063"/>
    <x v="158"/>
    <s v="Saturday"/>
    <s v="Same"/>
    <n v="54.88"/>
    <n v="9.1199999999999992"/>
    <n v="0.16618075801749269"/>
    <n v="5"/>
    <d v="1899-12-30T19:49:00"/>
    <d v="1899-12-30T20:55:00"/>
    <d v="1899-12-30T01:06:00"/>
    <n v="66"/>
    <s v="9524 Southern Hills Drive"/>
    <m/>
    <x v="2"/>
    <x v="1"/>
    <x v="0"/>
    <s v="No"/>
  </r>
  <r>
    <n v="1064"/>
    <x v="159"/>
    <s v="Sunday"/>
    <s v="Different"/>
    <n v="49.09"/>
    <n v="4"/>
    <n v="8.1482990425748622E-2"/>
    <n v="1.5"/>
    <d v="1899-12-30T17:09:00"/>
    <d v="1899-12-30T17:37:00"/>
    <d v="1899-12-30T00:28:00"/>
    <n v="28"/>
    <s v="9399 Wade Blvd."/>
    <n v="8304"/>
    <x v="0"/>
    <x v="0"/>
    <x v="1"/>
    <s v="No"/>
  </r>
  <r>
    <n v="1065"/>
    <x v="159"/>
    <s v="Sunday"/>
    <s v="Same"/>
    <n v="23.76"/>
    <n v="6.24"/>
    <n v="0.2626262626262626"/>
    <n v="1.5"/>
    <d v="1899-12-30T17:48:00"/>
    <d v="1899-12-30T18:13:00"/>
    <d v="1899-12-30T00:25:00"/>
    <n v="25"/>
    <s v="11105 Promise Land Drive"/>
    <m/>
    <x v="0"/>
    <x v="0"/>
    <x v="0"/>
    <s v="No"/>
  </r>
  <r>
    <n v="1066"/>
    <x v="159"/>
    <s v="Sunday"/>
    <s v="Same"/>
    <n v="28.36"/>
    <n v="5"/>
    <n v="0.1763046544428773"/>
    <n v="1.5"/>
    <d v="1899-12-30T18:06:00"/>
    <d v="1899-12-30T18:38:00"/>
    <d v="1899-12-30T00:32:00"/>
    <n v="32"/>
    <s v="9815 Wake Bridge Drive"/>
    <m/>
    <x v="0"/>
    <x v="0"/>
    <x v="0"/>
    <s v="No"/>
  </r>
  <r>
    <n v="1067"/>
    <x v="159"/>
    <s v="Sunday"/>
    <s v="Same"/>
    <n v="34.32"/>
    <n v="6"/>
    <n v="0.17482517482517482"/>
    <n v="1.5"/>
    <d v="1899-12-30T18:53:00"/>
    <d v="1899-12-30T19:19:00"/>
    <d v="1899-12-30T00:26:00"/>
    <n v="26"/>
    <s v="5761 Robbie Road"/>
    <n v="3125"/>
    <x v="2"/>
    <x v="0"/>
    <x v="1"/>
    <s v="No"/>
  </r>
  <r>
    <n v="1068"/>
    <x v="159"/>
    <s v="Sunday"/>
    <s v="Same"/>
    <n v="28.69"/>
    <n v="7.31"/>
    <n v="0.25479261066573716"/>
    <n v="1.5"/>
    <d v="1899-12-30T18:54:00"/>
    <d v="1899-12-30T19:34:00"/>
    <d v="1899-12-30T00:40:00"/>
    <n v="40"/>
    <s v="3312 Westwind Drive"/>
    <m/>
    <x v="2"/>
    <x v="0"/>
    <x v="0"/>
    <s v="No"/>
  </r>
  <r>
    <n v="1069"/>
    <x v="159"/>
    <s v="Sunday"/>
    <s v="Same"/>
    <n v="21.6"/>
    <n v="4.4000000000000004"/>
    <n v="0.20370370370370372"/>
    <n v="1.5"/>
    <d v="1899-12-30T19:01:00"/>
    <d v="1899-12-30T19:45:00"/>
    <d v="1899-12-30T00:44:00"/>
    <n v="44"/>
    <s v="5920 Andover Drive"/>
    <n v="31"/>
    <x v="3"/>
    <x v="0"/>
    <x v="1"/>
    <s v="No"/>
  </r>
  <r>
    <n v="1070"/>
    <x v="159"/>
    <s v="Sunday"/>
    <s v="Same"/>
    <n v="33.56"/>
    <n v="3"/>
    <n v="8.9392133492252682E-2"/>
    <n v="1.5"/>
    <d v="1899-12-30T19:45:00"/>
    <d v="1899-12-30T20:27:00"/>
    <d v="1899-12-30T00:42:00"/>
    <n v="42"/>
    <s v="6400 Indian Trail"/>
    <m/>
    <x v="2"/>
    <x v="0"/>
    <x v="0"/>
    <s v="No"/>
  </r>
  <r>
    <n v="1071"/>
    <x v="159"/>
    <s v="Sunday"/>
    <s v="Same"/>
    <n v="32.69"/>
    <n v="10"/>
    <n v="0.30590394616090549"/>
    <n v="5"/>
    <d v="1899-12-30T20:02:00"/>
    <d v="1899-12-30T20:40:00"/>
    <d v="1899-12-30T00:38:00"/>
    <n v="38"/>
    <s v="4244 Colton Drive"/>
    <m/>
    <x v="4"/>
    <x v="0"/>
    <x v="0"/>
    <s v="No"/>
  </r>
  <r>
    <n v="1072"/>
    <x v="160"/>
    <s v="Monday"/>
    <s v="Different"/>
    <n v="38.1"/>
    <n v="10"/>
    <n v="0.26246719160104987"/>
    <n v="5"/>
    <d v="1899-12-30T17:57:00"/>
    <d v="1899-12-30T18:48:00"/>
    <d v="1899-12-30T00:51:00"/>
    <n v="51"/>
    <s v="2204 Gunnison Trail"/>
    <m/>
    <x v="0"/>
    <x v="0"/>
    <x v="0"/>
    <s v="No"/>
  </r>
  <r>
    <n v="1073"/>
    <x v="160"/>
    <s v="Monday"/>
    <s v="Same"/>
    <n v="63.16"/>
    <n v="22.27"/>
    <n v="0.35259658011399619"/>
    <n v="5"/>
    <d v="1899-12-30T19:00:00"/>
    <d v="1899-12-30T19:00:00"/>
    <d v="1899-12-30T00:00:00"/>
    <n v="0"/>
    <s v="9822 Ranchero Drive"/>
    <m/>
    <x v="0"/>
    <x v="0"/>
    <x v="0"/>
    <s v="No"/>
  </r>
  <r>
    <n v="1074"/>
    <x v="160"/>
    <s v="Monday"/>
    <s v="Same"/>
    <n v="61.7"/>
    <n v="9"/>
    <n v="0.14586709886547811"/>
    <n v="1.5"/>
    <d v="1899-12-30T18:48:00"/>
    <d v="1899-12-30T19:38:00"/>
    <d v="1899-12-30T00:50:00"/>
    <n v="50"/>
    <s v="5732 Big River Drive"/>
    <m/>
    <x v="3"/>
    <x v="0"/>
    <x v="0"/>
    <s v="No"/>
  </r>
  <r>
    <n v="1075"/>
    <x v="160"/>
    <s v="Monday"/>
    <s v="Same"/>
    <n v="32.42"/>
    <n v="3"/>
    <n v="9.2535471930906846E-2"/>
    <n v="1.5"/>
    <d v="1899-12-30T18:50:00"/>
    <d v="1899-12-30T19:49:00"/>
    <d v="1899-12-30T00:59:00"/>
    <n v="59"/>
    <s v="6312 Connell Farm Drive"/>
    <m/>
    <x v="2"/>
    <x v="0"/>
    <x v="0"/>
    <s v="No"/>
  </r>
  <r>
    <n v="1076"/>
    <x v="160"/>
    <s v="Monday"/>
    <s v="Same"/>
    <n v="64.790000000000006"/>
    <n v="5"/>
    <n v="7.7172403148634036E-2"/>
    <n v="1.5"/>
    <d v="1899-12-30T19:11:00"/>
    <d v="1899-12-30T20:16:00"/>
    <d v="1899-12-30T01:05:00"/>
    <n v="65"/>
    <s v="7645 Junegrass Lane"/>
    <m/>
    <x v="0"/>
    <x v="0"/>
    <x v="0"/>
    <s v="No"/>
  </r>
  <r>
    <n v="1077"/>
    <x v="160"/>
    <s v="Monday"/>
    <s v="Same"/>
    <n v="12.44"/>
    <n v="4.5599999999999996"/>
    <n v="0.36655948553054662"/>
    <n v="1.5"/>
    <d v="1899-12-30T20:13:00"/>
    <d v="1899-12-30T20:46:00"/>
    <d v="1899-12-30T00:33:00"/>
    <n v="33"/>
    <s v="6805 Windhaven Parkway"/>
    <n v="234"/>
    <x v="3"/>
    <x v="0"/>
    <x v="1"/>
    <s v="No"/>
  </r>
  <r>
    <n v="1078"/>
    <x v="161"/>
    <s v="Friday"/>
    <s v="Different"/>
    <n v="53.75"/>
    <n v="5"/>
    <n v="9.3023255813953487E-2"/>
    <n v="5"/>
    <d v="1899-12-30T17:50:00"/>
    <d v="1899-12-30T18:18:00"/>
    <d v="1899-12-30T00:28:00"/>
    <n v="28"/>
    <s v="15124 Mountain View Lane"/>
    <m/>
    <x v="0"/>
    <x v="0"/>
    <x v="0"/>
    <s v="No"/>
  </r>
  <r>
    <n v="1079"/>
    <x v="161"/>
    <s v="Friday"/>
    <s v="Same"/>
    <n v="30.26"/>
    <n v="5"/>
    <n v="0.16523463317911433"/>
    <n v="1.5"/>
    <d v="1899-12-30T18:44:00"/>
    <d v="1899-12-30T19:10:00"/>
    <d v="1899-12-30T00:26:00"/>
    <n v="26"/>
    <s v="8116 Reel Street"/>
    <m/>
    <x v="0"/>
    <x v="0"/>
    <x v="0"/>
    <s v="No"/>
  </r>
  <r>
    <n v="1080"/>
    <x v="162"/>
    <s v="Saturday"/>
    <s v="Different"/>
    <n v="16.510000000000002"/>
    <n v="2"/>
    <n v="0.12113870381586916"/>
    <n v="5"/>
    <d v="1899-12-30T17:48:00"/>
    <d v="1899-12-30T18:27:00"/>
    <d v="1899-12-30T00:39:00"/>
    <n v="39"/>
    <s v="8721 Ludlow Drive"/>
    <m/>
    <x v="0"/>
    <x v="0"/>
    <x v="0"/>
    <s v="No"/>
  </r>
  <r>
    <n v="1081"/>
    <x v="162"/>
    <s v="Saturday"/>
    <s v="Same"/>
    <n v="19.7"/>
    <n v="5.3"/>
    <n v="0.26903553299492383"/>
    <n v="1.5"/>
    <d v="1899-12-30T19:25:00"/>
    <d v="1899-12-30T19:45:00"/>
    <d v="1899-12-30T00:20:00"/>
    <n v="20"/>
    <s v="6109 Shady Oaks Drive"/>
    <m/>
    <x v="0"/>
    <x v="0"/>
    <x v="0"/>
    <s v="No"/>
  </r>
  <r>
    <n v="1082"/>
    <x v="162"/>
    <s v="Saturday"/>
    <s v="Same"/>
    <n v="41.62"/>
    <n v="8"/>
    <n v="0.19221528111484865"/>
    <n v="1.5"/>
    <d v="1899-12-30T20:00:00"/>
    <d v="1899-12-30T20:39:00"/>
    <d v="1899-12-30T00:39:00"/>
    <n v="39"/>
    <s v="4976 Northshore Drive"/>
    <m/>
    <x v="0"/>
    <x v="0"/>
    <x v="0"/>
    <s v="No"/>
  </r>
  <r>
    <n v="1083"/>
    <x v="162"/>
    <s v="Saturday"/>
    <s v="Same"/>
    <n v="22.41"/>
    <n v="4.59"/>
    <n v="0.20481927710843373"/>
    <n v="1.5"/>
    <d v="1899-12-30T20:11:00"/>
    <d v="1899-12-30T20:47:00"/>
    <d v="1899-12-30T00:36:00"/>
    <n v="36"/>
    <s v="4533 Voyager Drive"/>
    <m/>
    <x v="0"/>
    <x v="0"/>
    <x v="0"/>
    <s v="No"/>
  </r>
  <r>
    <n v="1084"/>
    <x v="163"/>
    <s v="Sunday"/>
    <s v="Different"/>
    <n v="37.51"/>
    <n v="5"/>
    <n v="0.13329778725673155"/>
    <n v="1.5"/>
    <d v="1899-12-30T17:55:00"/>
    <d v="1899-12-30T18:26:00"/>
    <d v="1899-12-30T00:31:00"/>
    <n v="31.000000000000004"/>
    <s v="3400 Edwards Drive"/>
    <m/>
    <x v="2"/>
    <x v="0"/>
    <x v="0"/>
    <s v="No"/>
  </r>
  <r>
    <n v="1085"/>
    <x v="163"/>
    <s v="Sunday"/>
    <s v="Same"/>
    <n v="39.51"/>
    <n v="5"/>
    <n v="0.12655024044545685"/>
    <n v="1.5"/>
    <d v="1899-12-30T18:39:00"/>
    <d v="1899-12-30T19:13:00"/>
    <d v="1899-12-30T00:34:00"/>
    <n v="34"/>
    <s v="7606 Cordova Drive"/>
    <m/>
    <x v="0"/>
    <x v="0"/>
    <x v="0"/>
    <s v="No"/>
  </r>
  <r>
    <n v="1086"/>
    <x v="163"/>
    <s v="Sunday"/>
    <s v="Same"/>
    <n v="26.47"/>
    <n v="5"/>
    <n v="0.18889308651303363"/>
    <n v="1.5"/>
    <d v="1899-12-30T19:37:00"/>
    <d v="1899-12-30T20:02:00"/>
    <d v="1899-12-30T00:25:00"/>
    <n v="25"/>
    <s v="6412 Tempest Circle"/>
    <m/>
    <x v="2"/>
    <x v="0"/>
    <x v="0"/>
    <s v="No"/>
  </r>
  <r>
    <n v="1087"/>
    <x v="164"/>
    <s v="Friday"/>
    <s v="Different"/>
    <n v="45.09"/>
    <n v="4"/>
    <n v="8.8711465956974933E-2"/>
    <n v="5"/>
    <d v="1899-12-30T17:12:00"/>
    <d v="1899-12-30T17:48:00"/>
    <d v="1899-12-30T00:36:00"/>
    <n v="36"/>
    <s v="1071 Rolling Thunder Road"/>
    <m/>
    <x v="0"/>
    <x v="0"/>
    <x v="0"/>
    <s v="No"/>
  </r>
  <r>
    <n v="1088"/>
    <x v="164"/>
    <s v="Friday"/>
    <s v="Same"/>
    <n v="46.44"/>
    <n v="10"/>
    <n v="0.2153316106804479"/>
    <n v="5"/>
    <d v="1899-12-30T17:17:00"/>
    <d v="1899-12-30T18:04:00"/>
    <d v="1899-12-30T00:47:00"/>
    <n v="47.000000000000007"/>
    <s v="3032 Dunverny Road"/>
    <m/>
    <x v="3"/>
    <x v="0"/>
    <x v="0"/>
    <s v="No"/>
  </r>
  <r>
    <n v="1089"/>
    <x v="164"/>
    <s v="Friday"/>
    <s v="Same"/>
    <n v="30.26"/>
    <n v="6"/>
    <n v="0.1982815598149372"/>
    <n v="5"/>
    <d v="1899-12-30T19:07:00"/>
    <d v="1899-12-30T19:42:00"/>
    <d v="1899-12-30T00:35:00"/>
    <n v="35"/>
    <s v="15113 Mountain Creek Trail"/>
    <m/>
    <x v="0"/>
    <x v="0"/>
    <x v="0"/>
    <s v="No"/>
  </r>
  <r>
    <n v="1090"/>
    <x v="164"/>
    <s v="Friday"/>
    <s v="Same"/>
    <n v="36.21"/>
    <n v="4"/>
    <n v="0.11046672190002761"/>
    <n v="1.5"/>
    <d v="1899-12-30T19:09:00"/>
    <d v="1899-12-30T19:59:00"/>
    <d v="1899-12-30T00:50:00"/>
    <n v="50"/>
    <s v="7997 Wade Blvd"/>
    <n v="1013"/>
    <x v="0"/>
    <x v="0"/>
    <x v="1"/>
    <s v="No"/>
  </r>
  <r>
    <n v="1091"/>
    <x v="165"/>
    <s v="Saturday"/>
    <s v="Different"/>
    <n v="41.84"/>
    <n v="6"/>
    <n v="0.14340344168260036"/>
    <n v="1.5"/>
    <d v="1899-12-30T18:02:00"/>
    <d v="1899-12-30T18:30:00"/>
    <d v="1899-12-30T00:28:00"/>
    <n v="28"/>
    <s v="6408 Teal Court"/>
    <m/>
    <x v="2"/>
    <x v="0"/>
    <x v="0"/>
    <s v="No"/>
  </r>
  <r>
    <n v="1092"/>
    <x v="165"/>
    <s v="Saturday"/>
    <s v="Same"/>
    <n v="56.18"/>
    <n v="4"/>
    <n v="7.1199715201139199E-2"/>
    <n v="1.5"/>
    <d v="1899-12-30T18:44:00"/>
    <d v="1899-12-30T19:26:00"/>
    <d v="1899-12-30T00:42:00"/>
    <n v="42"/>
    <s v="2355 Lebanon Drive"/>
    <n v="6108"/>
    <x v="3"/>
    <x v="0"/>
    <x v="1"/>
    <s v="No"/>
  </r>
  <r>
    <n v="1093"/>
    <x v="165"/>
    <s v="Saturday"/>
    <s v="Same"/>
    <n v="22.41"/>
    <n v="5"/>
    <n v="0.22311468094600626"/>
    <n v="1.5"/>
    <d v="1899-12-30T18:55:00"/>
    <d v="1899-12-30T19:40:00"/>
    <d v="1899-12-30T00:45:00"/>
    <n v="45"/>
    <s v="3 Spyglass Court"/>
    <m/>
    <x v="0"/>
    <x v="1"/>
    <x v="0"/>
    <s v="No"/>
  </r>
  <r>
    <n v="1094"/>
    <x v="165"/>
    <s v="Saturday"/>
    <s v="Same"/>
    <n v="51.85"/>
    <n v="6"/>
    <n v="0.11571841851494696"/>
    <n v="1.5"/>
    <d v="1899-12-30T19:51:00"/>
    <d v="1899-12-30T20:31:00"/>
    <d v="1899-12-30T00:40:00"/>
    <n v="40"/>
    <s v="5784 Crestwood Lane"/>
    <m/>
    <x v="3"/>
    <x v="0"/>
    <x v="0"/>
    <s v="No"/>
  </r>
  <r>
    <n v="1095"/>
    <x v="165"/>
    <s v="Saturday"/>
    <s v="Same"/>
    <n v="47.31"/>
    <n v="8"/>
    <n v="0.16909744240118368"/>
    <n v="1.5"/>
    <d v="1899-12-30T19:57:00"/>
    <d v="1899-12-30T20:45:00"/>
    <d v="1899-12-30T00:48:00"/>
    <n v="48"/>
    <s v="5001 Iroquois Drive"/>
    <m/>
    <x v="0"/>
    <x v="0"/>
    <x v="0"/>
    <s v="No"/>
  </r>
  <r>
    <n v="1096"/>
    <x v="166"/>
    <s v="Sunday"/>
    <s v="Different"/>
    <n v="25.44"/>
    <n v="5"/>
    <n v="0.19654088050314464"/>
    <n v="1.5"/>
    <d v="1899-12-30T17:07:00"/>
    <d v="1899-12-30T17:55:00"/>
    <d v="1899-12-30T00:48:00"/>
    <n v="48"/>
    <s v="6328 Bluffview Drive"/>
    <m/>
    <x v="0"/>
    <x v="0"/>
    <x v="0"/>
    <s v="No"/>
  </r>
  <r>
    <n v="1097"/>
    <x v="166"/>
    <s v="Sunday"/>
    <s v="Same"/>
    <n v="51.91"/>
    <n v="10"/>
    <n v="0.19264110961279138"/>
    <n v="1.5"/>
    <d v="1899-12-30T17:11:00"/>
    <d v="1899-12-30T18:05:00"/>
    <d v="1899-12-30T00:54:00"/>
    <n v="53.999999999999993"/>
    <s v="5008 Adolphus Drive"/>
    <m/>
    <x v="0"/>
    <x v="0"/>
    <x v="0"/>
    <s v="No"/>
  </r>
  <r>
    <n v="1098"/>
    <x v="166"/>
    <s v="Sunday"/>
    <s v="Same"/>
    <n v="69.709999999999994"/>
    <n v="10"/>
    <n v="0.14345144168698898"/>
    <n v="1.5"/>
    <d v="1899-12-30T17:29:00"/>
    <d v="1899-12-30T18:15:00"/>
    <d v="1899-12-30T00:46:00"/>
    <n v="46.000000000000007"/>
    <s v="9736 Bellrock Road"/>
    <m/>
    <x v="0"/>
    <x v="0"/>
    <x v="0"/>
    <s v="No"/>
  </r>
  <r>
    <n v="1099"/>
    <x v="166"/>
    <s v="Sunday"/>
    <s v="Same"/>
    <n v="55.02"/>
    <n v="12"/>
    <n v="0.21810250817884405"/>
    <n v="1.5"/>
    <d v="1899-12-30T18:26:00"/>
    <d v="1899-12-30T19:04:00"/>
    <d v="1899-12-30T00:38:00"/>
    <n v="38"/>
    <s v="12996 Avanti Drive"/>
    <m/>
    <x v="0"/>
    <x v="0"/>
    <x v="0"/>
    <s v="No"/>
  </r>
  <r>
    <n v="1100"/>
    <x v="166"/>
    <s v="Sunday"/>
    <s v="Same"/>
    <n v="13.53"/>
    <n v="4"/>
    <n v="0.29563932002956395"/>
    <n v="1.5"/>
    <d v="1899-12-30T18:36:00"/>
    <d v="1899-12-30T19:16:00"/>
    <d v="1899-12-30T00:40:00"/>
    <n v="40"/>
    <s v="7312 Beckington Drive"/>
    <m/>
    <x v="0"/>
    <x v="0"/>
    <x v="0"/>
    <s v="No"/>
  </r>
  <r>
    <n v="1101"/>
    <x v="167"/>
    <s v="Friday"/>
    <s v="Different"/>
    <n v="34.26"/>
    <n v="5"/>
    <n v="0.14594279042615296"/>
    <n v="1.5"/>
    <d v="1899-12-30T18:04:00"/>
    <d v="1899-12-30T18:48:00"/>
    <d v="1899-12-30T00:44:00"/>
    <n v="44"/>
    <s v="4800 Northshore Drive"/>
    <m/>
    <x v="0"/>
    <x v="0"/>
    <x v="0"/>
    <s v="No"/>
  </r>
  <r>
    <n v="1102"/>
    <x v="167"/>
    <s v="Friday"/>
    <s v="Same"/>
    <n v="47.31"/>
    <n v="10"/>
    <n v="0.21137180300147959"/>
    <n v="1.5"/>
    <d v="1899-12-30T18:15:00"/>
    <d v="1899-12-30T19:00:00"/>
    <d v="1899-12-30T00:45:00"/>
    <n v="45"/>
    <s v="4724 Jerral Drive"/>
    <m/>
    <x v="0"/>
    <x v="0"/>
    <x v="0"/>
    <s v="No"/>
  </r>
  <r>
    <n v="1103"/>
    <x v="167"/>
    <s v="Friday"/>
    <s v="Same"/>
    <n v="32.69"/>
    <n v="3"/>
    <n v="9.1771183848271654E-2"/>
    <n v="5"/>
    <d v="1899-12-30T18:23:00"/>
    <d v="1899-12-30T19:14:00"/>
    <d v="1899-12-30T00:51:00"/>
    <n v="51"/>
    <s v="5050 FM 423"/>
    <n v="1102"/>
    <x v="0"/>
    <x v="0"/>
    <x v="1"/>
    <s v="No"/>
  </r>
  <r>
    <n v="1104"/>
    <x v="167"/>
    <s v="Friday"/>
    <s v="Same"/>
    <n v="93.96"/>
    <n v="10"/>
    <n v="0.10642826734780758"/>
    <n v="1.5"/>
    <d v="1899-12-30T19:18:00"/>
    <d v="1899-12-30T20:00:00"/>
    <d v="1899-12-30T00:42:00"/>
    <n v="42"/>
    <s v="6917 Beckworth Lane"/>
    <m/>
    <x v="2"/>
    <x v="0"/>
    <x v="0"/>
    <s v="No"/>
  </r>
  <r>
    <n v="1105"/>
    <x v="167"/>
    <s v="Friday"/>
    <s v="Same"/>
    <n v="44"/>
    <n v="4"/>
    <n v="9.0909090909090912E-2"/>
    <n v="1.5"/>
    <d v="1899-12-30T19:19:00"/>
    <d v="1899-12-30T20:12:00"/>
    <d v="1899-12-30T00:53:00"/>
    <n v="53"/>
    <s v="2165 Cardinal Blvd"/>
    <m/>
    <x v="4"/>
    <x v="0"/>
    <x v="0"/>
    <s v="No"/>
  </r>
  <r>
    <n v="1106"/>
    <x v="167"/>
    <s v="Friday"/>
    <s v="Same"/>
    <n v="40.049999999999997"/>
    <n v="5"/>
    <n v="0.12484394506866418"/>
    <n v="5"/>
    <d v="1899-12-30T19:15:00"/>
    <d v="1899-12-30T20:21:00"/>
    <d v="1899-12-30T01:06:00"/>
    <n v="66"/>
    <s v="2325 Stallion Street"/>
    <m/>
    <x v="4"/>
    <x v="0"/>
    <x v="0"/>
    <s v="No"/>
  </r>
  <r>
    <n v="1107"/>
    <x v="167"/>
    <s v="Friday"/>
    <s v="Same"/>
    <n v="40.58"/>
    <n v="5"/>
    <n v="0.12321340561853131"/>
    <n v="1.5"/>
    <d v="1899-12-30T20:21:00"/>
    <d v="1899-12-30T20:58:00"/>
    <d v="1899-12-30T00:37:00"/>
    <n v="37"/>
    <s v="5754 Grosseto Drive"/>
    <m/>
    <x v="0"/>
    <x v="0"/>
    <x v="0"/>
    <s v="No"/>
  </r>
  <r>
    <n v="1108"/>
    <x v="167"/>
    <s v="Friday"/>
    <s v="Same"/>
    <n v="51.09"/>
    <n v="10.91"/>
    <n v="0.21354472499510666"/>
    <n v="1.5"/>
    <d v="1899-12-30T20:28:00"/>
    <d v="1899-12-30T21:03:00"/>
    <d v="1899-12-30T00:35:00"/>
    <n v="35"/>
    <s v="6776 Livorno Lane"/>
    <m/>
    <x v="0"/>
    <x v="0"/>
    <x v="0"/>
    <s v="No"/>
  </r>
  <r>
    <n v="1109"/>
    <x v="167"/>
    <s v="Friday"/>
    <s v="Same"/>
    <n v="24.57"/>
    <n v="0.43"/>
    <n v="1.7501017501017499E-2"/>
    <n v="1.5"/>
    <d v="1899-12-30T20:30:00"/>
    <d v="1899-12-30T21:15:00"/>
    <d v="1899-12-30T00:45:00"/>
    <n v="45"/>
    <s v="2870 Montreaux Drive"/>
    <m/>
    <x v="0"/>
    <x v="3"/>
    <x v="0"/>
    <s v="No"/>
  </r>
  <r>
    <n v="1110"/>
    <x v="168"/>
    <s v="Saturday"/>
    <s v="Different"/>
    <n v="37.35"/>
    <n v="8"/>
    <n v="0.214190093708166"/>
    <n v="1.5"/>
    <d v="1899-12-30T18:10:00"/>
    <d v="1899-12-30T18:50:00"/>
    <d v="1899-12-30T00:40:00"/>
    <n v="40"/>
    <s v="6508 Sleepy Spring Drive"/>
    <m/>
    <x v="2"/>
    <x v="0"/>
    <x v="0"/>
    <s v="No"/>
  </r>
  <r>
    <n v="1111"/>
    <x v="168"/>
    <s v="Saturday"/>
    <s v="Same"/>
    <n v="23.82"/>
    <n v="8.18"/>
    <n v="0.34340890008396302"/>
    <n v="1.5"/>
    <d v="1899-12-30T18:24:00"/>
    <d v="1899-12-30T19:00:00"/>
    <d v="1899-12-30T00:36:00"/>
    <n v="36"/>
    <s v="3312 Westwind Drive"/>
    <m/>
    <x v="2"/>
    <x v="0"/>
    <x v="0"/>
    <s v="No"/>
  </r>
  <r>
    <n v="1112"/>
    <x v="168"/>
    <s v="Saturday"/>
    <s v="Same"/>
    <n v="60.02"/>
    <n v="5"/>
    <n v="8.3305564811729418E-2"/>
    <n v="1.5"/>
    <d v="1899-12-30T18:22:00"/>
    <d v="1899-12-30T19:10:00"/>
    <d v="1899-12-30T00:48:00"/>
    <n v="48"/>
    <s v="6401 Widgeon Drive"/>
    <m/>
    <x v="2"/>
    <x v="0"/>
    <x v="0"/>
    <s v="No"/>
  </r>
  <r>
    <n v="1113"/>
    <x v="168"/>
    <s v="Saturday"/>
    <s v="Same"/>
    <n v="45.9"/>
    <n v="3"/>
    <n v="6.535947712418301E-2"/>
    <n v="1.5"/>
    <d v="1899-12-30T19:06:00"/>
    <d v="1899-12-30T19:46:00"/>
    <d v="1899-12-30T00:40:00"/>
    <n v="40"/>
    <s v="6017 Hackberry Court"/>
    <m/>
    <x v="0"/>
    <x v="2"/>
    <x v="0"/>
    <s v="No"/>
  </r>
  <r>
    <n v="1114"/>
    <x v="168"/>
    <s v="Saturday"/>
    <s v="Same"/>
    <n v="33.020000000000003"/>
    <n v="3"/>
    <n v="9.0854027861901873E-2"/>
    <n v="5"/>
    <d v="1899-12-30T19:05:00"/>
    <d v="1899-12-30T20:00:00"/>
    <d v="1899-12-30T00:55:00"/>
    <n v="54.999999999999993"/>
    <s v="1856 Sandstone Drive"/>
    <m/>
    <x v="0"/>
    <x v="0"/>
    <x v="0"/>
    <s v="No"/>
  </r>
  <r>
    <n v="1115"/>
    <x v="168"/>
    <s v="Saturday"/>
    <s v="Same"/>
    <n v="36.75"/>
    <n v="8"/>
    <n v="0.21768707482993196"/>
    <n v="1.5"/>
    <d v="1899-12-30T19:10:00"/>
    <d v="1899-12-30T20:12:00"/>
    <d v="1899-12-30T01:02:00"/>
    <n v="62.000000000000007"/>
    <s v="24 Armstrong Drive"/>
    <m/>
    <x v="0"/>
    <x v="3"/>
    <x v="0"/>
    <s v="No"/>
  </r>
  <r>
    <n v="1116"/>
    <x v="168"/>
    <s v="Saturday"/>
    <s v="Same"/>
    <n v="50.82"/>
    <n v="5"/>
    <n v="9.8386462022825652E-2"/>
    <n v="1.5"/>
    <d v="1899-12-30T19:17:00"/>
    <d v="1899-12-30T20:21:00"/>
    <d v="1899-12-30T01:04:00"/>
    <n v="64"/>
    <s v="6 Southern Hills Court"/>
    <m/>
    <x v="0"/>
    <x v="1"/>
    <x v="0"/>
    <s v="No"/>
  </r>
  <r>
    <n v="1117"/>
    <x v="168"/>
    <s v="Saturday"/>
    <s v="Same"/>
    <n v="51.31"/>
    <n v="10"/>
    <n v="0.19489378288832584"/>
    <n v="1.5"/>
    <d v="1899-12-30T20:50:00"/>
    <d v="1899-12-30T20:50:00"/>
    <d v="1899-12-30T00:00:00"/>
    <n v="0"/>
    <s v="8117 Spring Valley Lane"/>
    <m/>
    <x v="2"/>
    <x v="0"/>
    <x v="0"/>
    <s v="Yes"/>
  </r>
  <r>
    <n v="1118"/>
    <x v="168"/>
    <s v="Saturday"/>
    <s v="Same"/>
    <n v="22.41"/>
    <n v="1"/>
    <n v="4.4622936189201247E-2"/>
    <n v="1.5"/>
    <d v="1899-12-30T20:44:00"/>
    <d v="1899-12-30T21:34:00"/>
    <d v="1899-12-30T00:50:00"/>
    <n v="50"/>
    <s v="4585 Etheridge Drive"/>
    <m/>
    <x v="2"/>
    <x v="0"/>
    <x v="0"/>
    <s v="No"/>
  </r>
  <r>
    <n v="1119"/>
    <x v="168"/>
    <s v="Saturday"/>
    <s v="Same"/>
    <n v="38.92"/>
    <n v="6.08"/>
    <n v="0.15621788283658786"/>
    <n v="1.5"/>
    <d v="1899-12-30T20:50:00"/>
    <d v="1899-12-30T21:52:00"/>
    <d v="1899-12-30T01:02:00"/>
    <n v="62.000000000000007"/>
    <s v="5720 Bozeman Drive"/>
    <n v="11425"/>
    <x v="2"/>
    <x v="0"/>
    <x v="1"/>
    <s v="No"/>
  </r>
  <r>
    <n v="1120"/>
    <x v="169"/>
    <s v="Sunday"/>
    <s v="Different"/>
    <n v="34.64"/>
    <n v="5.36"/>
    <n v="0.15473441108545036"/>
    <n v="5"/>
    <d v="1899-12-30T16:38:00"/>
    <d v="1899-12-30T17:23:00"/>
    <d v="1899-12-30T00:45:00"/>
    <n v="45"/>
    <s v="8812 Clear Sky Drive"/>
    <m/>
    <x v="2"/>
    <x v="0"/>
    <x v="0"/>
    <s v="No"/>
  </r>
  <r>
    <n v="1121"/>
    <x v="169"/>
    <s v="Sunday"/>
    <s v="Same"/>
    <n v="23.22"/>
    <n v="5"/>
    <n v="0.2153316106804479"/>
    <n v="1.5"/>
    <d v="1899-12-30T17:22:00"/>
    <d v="1899-12-30T18:04:00"/>
    <d v="1899-12-30T00:42:00"/>
    <n v="42"/>
    <s v="18 Canyon Crest Court"/>
    <m/>
    <x v="0"/>
    <x v="1"/>
    <x v="0"/>
    <s v="No"/>
  </r>
  <r>
    <n v="1122"/>
    <x v="169"/>
    <s v="Sunday"/>
    <s v="Same"/>
    <n v="30.31"/>
    <n v="3"/>
    <n v="9.8977235235895744E-2"/>
    <n v="1.5"/>
    <d v="1899-12-30T17:39:00"/>
    <d v="1899-12-30T18:14:00"/>
    <d v="1899-12-30T00:35:00"/>
    <n v="35"/>
    <s v="107 Myers Avenue "/>
    <m/>
    <x v="0"/>
    <x v="0"/>
    <x v="1"/>
    <s v="No"/>
  </r>
  <r>
    <n v="1123"/>
    <x v="169"/>
    <s v="Sunday"/>
    <s v="Same"/>
    <n v="28.62"/>
    <n v="7"/>
    <n v="0.24458420684835777"/>
    <n v="5"/>
    <d v="1899-12-30T17:32:00"/>
    <d v="1899-12-30T18:27:00"/>
    <d v="1899-12-30T00:55:00"/>
    <n v="54.999999999999993"/>
    <s v="7904 Staley Drive"/>
    <m/>
    <x v="0"/>
    <x v="0"/>
    <x v="0"/>
    <s v="No"/>
  </r>
  <r>
    <n v="1124"/>
    <x v="169"/>
    <s v="Sunday"/>
    <s v="Same"/>
    <n v="48.66"/>
    <n v="7"/>
    <n v="0.14385532264693796"/>
    <n v="5"/>
    <d v="1899-12-30T17:42:00"/>
    <d v="1899-12-30T18:33:00"/>
    <d v="1899-12-30T00:51:00"/>
    <n v="51"/>
    <s v="1595 Idlewild Drive"/>
    <m/>
    <x v="0"/>
    <x v="0"/>
    <x v="0"/>
    <s v="No"/>
  </r>
  <r>
    <n v="1125"/>
    <x v="169"/>
    <s v="Sunday"/>
    <s v="Same"/>
    <n v="40.270000000000003"/>
    <n v="18"/>
    <n v="0.44698286565681644"/>
    <n v="1.5"/>
    <d v="1899-12-30T18:56:00"/>
    <d v="1899-12-30T19:22:00"/>
    <d v="1899-12-30T00:26:00"/>
    <n v="26"/>
    <s v="85 Cattail Pond Drive"/>
    <m/>
    <x v="0"/>
    <x v="0"/>
    <x v="0"/>
    <s v="No"/>
  </r>
  <r>
    <n v="1126"/>
    <x v="169"/>
    <s v="Sunday"/>
    <s v="Same"/>
    <n v="17"/>
    <n v="15"/>
    <n v="0.88235294117647056"/>
    <n v="1.5"/>
    <d v="1899-12-30T19:30:00"/>
    <d v="1899-12-30T19:56:00"/>
    <d v="1899-12-30T00:26:00"/>
    <n v="26"/>
    <s v="6812 Wild Ridge Court"/>
    <m/>
    <x v="2"/>
    <x v="0"/>
    <x v="0"/>
    <s v="No"/>
  </r>
  <r>
    <n v="1127"/>
    <x v="170"/>
    <s v="Friday"/>
    <s v="Different"/>
    <n v="24.03"/>
    <n v="4"/>
    <n v="0.16645859342488556"/>
    <n v="1.5"/>
    <d v="1899-12-30T18:13:00"/>
    <d v="1899-12-30T18:58:00"/>
    <d v="1899-12-30T00:45:00"/>
    <n v="45"/>
    <s v="4401 Druid Hills Drive"/>
    <m/>
    <x v="0"/>
    <x v="0"/>
    <x v="0"/>
    <s v="No"/>
  </r>
  <r>
    <n v="1128"/>
    <x v="170"/>
    <s v="Friday"/>
    <s v="Same"/>
    <n v="38.369999999999997"/>
    <n v="5"/>
    <n v="0.13031013812874642"/>
    <n v="5"/>
    <d v="1899-12-30T18:19:00"/>
    <d v="1899-12-30T19:13:00"/>
    <d v="1899-12-30T00:54:00"/>
    <n v="53.999999999999993"/>
    <s v="10463 Mountain Laurel Lane"/>
    <m/>
    <x v="0"/>
    <x v="0"/>
    <x v="0"/>
    <s v="No"/>
  </r>
  <r>
    <n v="1129"/>
    <x v="170"/>
    <s v="Friday"/>
    <s v="Same"/>
    <n v="66.03"/>
    <n v="4"/>
    <n v="6.0578524912918368E-2"/>
    <n v="5"/>
    <d v="1899-12-30T18:21:00"/>
    <d v="1899-12-30T19:26:00"/>
    <d v="1899-12-30T01:05:00"/>
    <n v="65"/>
    <s v="13311 Bavarian Drive"/>
    <m/>
    <x v="0"/>
    <x v="0"/>
    <x v="0"/>
    <s v="No"/>
  </r>
  <r>
    <n v="1130"/>
    <x v="170"/>
    <s v="Friday"/>
    <s v="Same"/>
    <n v="43.46"/>
    <n v="5"/>
    <n v="0.11504832029452369"/>
    <n v="1.5"/>
    <d v="1899-12-30T19:43:00"/>
    <d v="1899-12-30T20:26:00"/>
    <d v="1899-12-30T00:43:00"/>
    <n v="43"/>
    <s v="8737 Manhattan Avenue"/>
    <m/>
    <x v="2"/>
    <x v="0"/>
    <x v="0"/>
    <s v="No"/>
  </r>
  <r>
    <n v="1131"/>
    <x v="170"/>
    <s v="Friday"/>
    <s v="Same"/>
    <n v="72.2"/>
    <n v="8"/>
    <n v="0.11080332409972299"/>
    <n v="1.5"/>
    <d v="1899-12-30T19:59:00"/>
    <d v="1899-12-30T20:33:00"/>
    <d v="1899-12-30T00:34:00"/>
    <n v="34"/>
    <s v="4017 Wind Dance Circle"/>
    <m/>
    <x v="2"/>
    <x v="0"/>
    <x v="0"/>
    <s v="No"/>
  </r>
  <r>
    <n v="1132"/>
    <x v="171"/>
    <s v="Saturday"/>
    <s v="Different"/>
    <n v="39.94"/>
    <n v="4"/>
    <n v="0.10015022533800702"/>
    <n v="5"/>
    <d v="1899-12-30T17:24:00"/>
    <d v="1899-12-30T18:09:00"/>
    <d v="1899-12-30T00:45:00"/>
    <n v="45"/>
    <s v="6543 Shadywood Drive"/>
    <m/>
    <x v="0"/>
    <x v="0"/>
    <x v="0"/>
    <s v="No"/>
  </r>
  <r>
    <n v="1133"/>
    <x v="171"/>
    <s v="Saturday"/>
    <s v="Same"/>
    <n v="20.3"/>
    <n v="3"/>
    <n v="0.14778325123152708"/>
    <n v="1.5"/>
    <d v="1899-12-30T18:29:00"/>
    <d v="1899-12-30T18:46:00"/>
    <d v="1899-12-30T00:17:00"/>
    <n v="17"/>
    <s v="6060 TX-121"/>
    <m/>
    <x v="0"/>
    <x v="0"/>
    <x v="3"/>
    <s v="No"/>
  </r>
  <r>
    <n v="1134"/>
    <x v="171"/>
    <s v="Saturday"/>
    <s v="Same"/>
    <n v="104.46"/>
    <n v="10"/>
    <n v="9.5730423128470229E-2"/>
    <n v="5"/>
    <d v="1899-12-30T18:18:00"/>
    <d v="1899-12-30T19:05:00"/>
    <d v="1899-12-30T00:47:00"/>
    <n v="47.000000000000007"/>
    <s v="2677 West Creek Drive"/>
    <m/>
    <x v="0"/>
    <x v="0"/>
    <x v="0"/>
    <s v="No"/>
  </r>
  <r>
    <n v="1135"/>
    <x v="171"/>
    <s v="Saturday"/>
    <s v="Same"/>
    <n v="62.19"/>
    <n v="20"/>
    <n v="0.32159511175430133"/>
    <n v="5"/>
    <d v="1899-12-30T19:17:00"/>
    <d v="1899-12-30T20:15:00"/>
    <d v="1899-12-30T00:58:00"/>
    <n v="58.000000000000007"/>
    <s v="10150 Big Horn Trail"/>
    <m/>
    <x v="0"/>
    <x v="0"/>
    <x v="0"/>
    <s v="No"/>
  </r>
  <r>
    <n v="1136"/>
    <x v="171"/>
    <s v="Saturday"/>
    <s v="Same"/>
    <n v="14.83"/>
    <n v="4"/>
    <n v="0.26972353337828725"/>
    <n v="1.5"/>
    <d v="1899-12-30T19:24:00"/>
    <d v="1899-12-30T20:32:00"/>
    <d v="1899-12-30T01:08:00"/>
    <n v="68"/>
    <s v="6439 Chester Drive"/>
    <m/>
    <x v="0"/>
    <x v="0"/>
    <x v="0"/>
    <s v="No"/>
  </r>
  <r>
    <n v="1137"/>
    <x v="171"/>
    <s v="Saturday"/>
    <s v="Same"/>
    <n v="95.42"/>
    <n v="10"/>
    <n v="0.10479983232026828"/>
    <n v="5"/>
    <d v="1899-12-30T20:25:00"/>
    <d v="1899-12-30T21:23:00"/>
    <d v="1899-12-30T00:58:00"/>
    <n v="58.000000000000007"/>
    <s v="2612 Queen Elizabeth Blvd"/>
    <m/>
    <x v="1"/>
    <x v="0"/>
    <x v="0"/>
    <s v="No"/>
  </r>
  <r>
    <n v="1138"/>
    <x v="171"/>
    <s v="Saturday"/>
    <s v="Same"/>
    <n v="24.57"/>
    <n v="10"/>
    <n v="0.40700040700040702"/>
    <n v="1.5"/>
    <d v="1899-12-30T20:48:00"/>
    <d v="1899-12-30T21:43:00"/>
    <d v="1899-12-30T00:55:00"/>
    <n v="54.999999999999993"/>
    <s v="5725 West Arbor Hills Way"/>
    <m/>
    <x v="3"/>
    <x v="0"/>
    <x v="1"/>
    <s v="No"/>
  </r>
  <r>
    <n v="1139"/>
    <x v="172"/>
    <s v="Sunday"/>
    <s v="Different"/>
    <n v="28.69"/>
    <n v="5"/>
    <n v="0.17427675148135238"/>
    <n v="1.5"/>
    <d v="1899-12-30T17:44:00"/>
    <d v="1899-12-30T18:10:00"/>
    <d v="1899-12-30T00:26:00"/>
    <n v="26"/>
    <s v="3200 Rifle Gap Road"/>
    <n v="1124"/>
    <x v="0"/>
    <x v="0"/>
    <x v="1"/>
    <s v="No"/>
  </r>
  <r>
    <n v="1140"/>
    <x v="172"/>
    <s v="Sunday"/>
    <s v="Same"/>
    <n v="21.05"/>
    <n v="3"/>
    <n v="0.14251781472684086"/>
    <n v="1.5"/>
    <d v="1899-12-30T17:44:00"/>
    <d v="1899-12-30T18:25:00"/>
    <d v="1899-12-30T00:41:00"/>
    <n v="41"/>
    <s v="10204 Noel Drive"/>
    <m/>
    <x v="0"/>
    <x v="0"/>
    <x v="0"/>
    <s v="No"/>
  </r>
  <r>
    <n v="1141"/>
    <x v="172"/>
    <s v="Sunday"/>
    <s v="Same"/>
    <n v="40.54"/>
    <n v="4"/>
    <n v="9.8667982239763197E-2"/>
    <n v="1.5"/>
    <d v="1899-12-30T19:20:00"/>
    <d v="1899-12-30T19:20:00"/>
    <d v="1899-12-30T00:00:00"/>
    <n v="0"/>
    <s v="14247 Carly Lane"/>
    <m/>
    <x v="0"/>
    <x v="0"/>
    <x v="0"/>
    <s v="Yes"/>
  </r>
  <r>
    <n v="1142"/>
    <x v="172"/>
    <s v="Sunday"/>
    <s v="Same"/>
    <n v="26.03"/>
    <n v="6"/>
    <n v="0.23050326546292738"/>
    <n v="1.5"/>
    <d v="1899-12-30T18:34:00"/>
    <d v="1899-12-30T19:38:00"/>
    <d v="1899-12-30T01:04:00"/>
    <n v="64"/>
    <s v="6328 Bluffview Drive"/>
    <m/>
    <x v="0"/>
    <x v="0"/>
    <x v="0"/>
    <s v="No"/>
  </r>
  <r>
    <n v="1143"/>
    <x v="172"/>
    <s v="Sunday"/>
    <s v="Same"/>
    <n v="23"/>
    <n v="6"/>
    <n v="0.2608695652173913"/>
    <n v="1.5"/>
    <d v="1899-12-30T18:45:00"/>
    <d v="1899-12-30T19:50:00"/>
    <d v="1899-12-30T01:05:00"/>
    <n v="65"/>
    <s v="8625 Hickory Street"/>
    <n v="1338"/>
    <x v="0"/>
    <x v="0"/>
    <x v="1"/>
    <s v="No"/>
  </r>
  <r>
    <n v="1144"/>
    <x v="172"/>
    <s v="Sunday"/>
    <s v="Same"/>
    <n v="44.54"/>
    <n v="6"/>
    <n v="0.13471037269869779"/>
    <n v="1.5"/>
    <d v="1899-12-30T20:15:00"/>
    <d v="1899-12-30T20:44:00"/>
    <d v="1899-12-30T00:29:00"/>
    <n v="29.000000000000004"/>
    <s v="3159 Camden Bluff Road"/>
    <m/>
    <x v="0"/>
    <x v="0"/>
    <x v="0"/>
    <s v="No"/>
  </r>
  <r>
    <n v="1145"/>
    <x v="173"/>
    <s v="Saturday"/>
    <s v="Different"/>
    <n v="17"/>
    <n v="3"/>
    <n v="0.17647058823529413"/>
    <n v="1.5"/>
    <d v="1899-12-30T16:33:00"/>
    <d v="1899-12-30T17:15:00"/>
    <d v="1899-12-30T00:42:00"/>
    <n v="42"/>
    <s v="3541 Estacado Lane"/>
    <m/>
    <x v="2"/>
    <x v="0"/>
    <x v="0"/>
    <s v="No"/>
  </r>
  <r>
    <n v="1146"/>
    <x v="173"/>
    <s v="Saturday"/>
    <s v="Same"/>
    <n v="27.06"/>
    <n v="5"/>
    <n v="0.18477457501847747"/>
    <n v="1.5"/>
    <d v="1899-12-30T17:45:00"/>
    <d v="1899-12-30T18:24:00"/>
    <d v="1899-12-30T00:39:00"/>
    <n v="39"/>
    <s v="4612 Reunion Drive"/>
    <m/>
    <x v="2"/>
    <x v="0"/>
    <x v="0"/>
    <s v="No"/>
  </r>
  <r>
    <n v="1147"/>
    <x v="173"/>
    <s v="Saturday"/>
    <s v="Same"/>
    <n v="41.68"/>
    <n v="10"/>
    <n v="0.23992322456813819"/>
    <n v="1.5"/>
    <d v="1899-12-30T17:46:00"/>
    <d v="1899-12-30T18:34:00"/>
    <d v="1899-12-30T00:48:00"/>
    <n v="48"/>
    <s v="9600 Coit Road"/>
    <n v="625"/>
    <x v="2"/>
    <x v="0"/>
    <x v="1"/>
    <s v="No"/>
  </r>
  <r>
    <n v="1148"/>
    <x v="173"/>
    <s v="Saturday"/>
    <s v="Same"/>
    <n v="43.19"/>
    <n v="8"/>
    <n v="0.1852280620514008"/>
    <n v="1.5"/>
    <d v="1899-12-30T17:59:00"/>
    <d v="1899-12-30T18:44:00"/>
    <d v="1899-12-30T00:45:00"/>
    <n v="45"/>
    <s v="3525 San Patricio Drive"/>
    <m/>
    <x v="2"/>
    <x v="0"/>
    <x v="0"/>
    <s v="No"/>
  </r>
  <r>
    <n v="1149"/>
    <x v="173"/>
    <s v="Saturday"/>
    <s v="Same"/>
    <n v="24.3"/>
    <n v="3"/>
    <n v="0.12345679012345678"/>
    <n v="1.5"/>
    <d v="1899-12-30T18:52:00"/>
    <d v="1899-12-30T19:26:00"/>
    <d v="1899-12-30T00:34:00"/>
    <n v="34"/>
    <s v="3512 Burnet Drive"/>
    <m/>
    <x v="2"/>
    <x v="0"/>
    <x v="0"/>
    <s v="No"/>
  </r>
  <r>
    <n v="1150"/>
    <x v="173"/>
    <s v="Saturday"/>
    <s v="Same"/>
    <n v="35.61"/>
    <n v="6"/>
    <n v="0.16849199663016007"/>
    <n v="1.5"/>
    <d v="1899-12-30T18:59:00"/>
    <d v="1899-12-30T19:39:00"/>
    <d v="1899-12-30T00:40:00"/>
    <n v="40"/>
    <s v="4668 Lucient Circle"/>
    <m/>
    <x v="2"/>
    <x v="0"/>
    <x v="0"/>
    <s v="No"/>
  </r>
  <r>
    <n v="1151"/>
    <x v="173"/>
    <s v="Saturday"/>
    <s v="Same"/>
    <n v="35.130000000000003"/>
    <n v="3"/>
    <n v="8.5397096498719044E-2"/>
    <n v="5"/>
    <d v="1899-12-30T19:54:00"/>
    <d v="1899-12-30T20:26:00"/>
    <d v="1899-12-30T00:32:00"/>
    <n v="32"/>
    <s v="2649 Creekway Drive"/>
    <m/>
    <x v="4"/>
    <x v="0"/>
    <x v="0"/>
    <s v="No"/>
  </r>
  <r>
    <n v="1152"/>
    <x v="174"/>
    <s v="Friday"/>
    <s v="Different"/>
    <n v="32.1"/>
    <n v="10"/>
    <n v="0.3115264797507788"/>
    <n v="5"/>
    <d v="1899-12-30T17:56:00"/>
    <d v="1899-12-30T18:46:00"/>
    <d v="1899-12-30T00:50:00"/>
    <n v="50"/>
    <s v="3405 Dunbar Court"/>
    <m/>
    <x v="3"/>
    <x v="0"/>
    <x v="0"/>
    <s v="No"/>
  </r>
  <r>
    <n v="1153"/>
    <x v="174"/>
    <s v="Friday"/>
    <s v="Same"/>
    <n v="49.25"/>
    <n v="6"/>
    <n v="0.12182741116751269"/>
    <n v="1.5"/>
    <d v="1899-12-30T17:59:00"/>
    <d v="1899-12-30T19:01:00"/>
    <d v="1899-12-30T01:02:00"/>
    <n v="62.000000000000007"/>
    <s v="2 La Costa Court"/>
    <m/>
    <x v="0"/>
    <x v="3"/>
    <x v="0"/>
    <s v="No"/>
  </r>
  <r>
    <n v="1154"/>
    <x v="174"/>
    <s v="Friday"/>
    <s v="Same"/>
    <n v="50.55"/>
    <n v="8"/>
    <n v="0.15825914935707222"/>
    <n v="1.5"/>
    <d v="1899-12-30T18:15:00"/>
    <d v="1899-12-30T19:08:00"/>
    <d v="1899-12-30T00:53:00"/>
    <n v="53"/>
    <s v="4 Indian Wells "/>
    <m/>
    <x v="0"/>
    <x v="3"/>
    <x v="0"/>
    <s v="No"/>
  </r>
  <r>
    <n v="1155"/>
    <x v="174"/>
    <s v="Friday"/>
    <s v="Same"/>
    <n v="20.239999999999998"/>
    <n v="5"/>
    <n v="0.24703557312252966"/>
    <n v="1.5"/>
    <d v="1899-12-30T18:09:00"/>
    <d v="1899-12-30T19:23:00"/>
    <d v="1899-12-30T01:14:00"/>
    <n v="74"/>
    <s v="5258 Quail Run "/>
    <m/>
    <x v="0"/>
    <x v="2"/>
    <x v="0"/>
    <s v="No"/>
  </r>
  <r>
    <n v="1156"/>
    <x v="174"/>
    <s v="Friday"/>
    <s v="Same"/>
    <n v="101.3"/>
    <n v="15"/>
    <n v="0.14807502467917077"/>
    <n v="1.5"/>
    <d v="1899-12-30T19:35:00"/>
    <d v="1899-12-30T20:20:00"/>
    <d v="1899-12-30T00:45:00"/>
    <n v="45"/>
    <s v="13478 Morley Drive"/>
    <m/>
    <x v="0"/>
    <x v="0"/>
    <x v="0"/>
    <s v="No"/>
  </r>
  <r>
    <n v="1157"/>
    <x v="174"/>
    <s v="Friday"/>
    <s v="Same"/>
    <n v="38.65"/>
    <n v="10"/>
    <n v="0.25873221216041398"/>
    <n v="5"/>
    <d v="1899-12-30T19:44:00"/>
    <d v="1899-12-30T20:31:00"/>
    <d v="1899-12-30T00:47:00"/>
    <n v="47.000000000000007"/>
    <s v="15068 Mountain View Lane"/>
    <m/>
    <x v="0"/>
    <x v="0"/>
    <x v="0"/>
    <s v="No"/>
  </r>
  <r>
    <n v="1158"/>
    <x v="174"/>
    <s v="Friday"/>
    <s v="Same"/>
    <n v="18.350000000000001"/>
    <n v="5"/>
    <n v="0.27247956403269752"/>
    <n v="1.5"/>
    <d v="1899-12-30T19:49:00"/>
    <d v="1899-12-30T20:41:00"/>
    <d v="1899-12-30T00:52:00"/>
    <n v="52"/>
    <s v="11401 Newport Drive"/>
    <m/>
    <x v="0"/>
    <x v="0"/>
    <x v="0"/>
    <s v="No"/>
  </r>
  <r>
    <n v="1159"/>
    <x v="174"/>
    <s v="Friday"/>
    <s v="Same"/>
    <n v="40"/>
    <n v="6"/>
    <n v="0.15"/>
    <n v="1.5"/>
    <d v="1899-12-30T20:38:00"/>
    <d v="1899-12-30T21:21:00"/>
    <d v="1899-12-30T00:43:00"/>
    <n v="43"/>
    <s v="4170 Republic Drive"/>
    <m/>
    <x v="0"/>
    <x v="4"/>
    <x v="0"/>
    <s v="No"/>
  </r>
  <r>
    <n v="1160"/>
    <x v="174"/>
    <s v="Friday"/>
    <s v="Same"/>
    <n v="28.9"/>
    <n v="5"/>
    <n v="0.17301038062283738"/>
    <n v="1.5"/>
    <d v="1899-12-30T20:37:00"/>
    <d v="1899-12-30T21:28:00"/>
    <d v="1899-12-30T00:51:00"/>
    <n v="51"/>
    <s v="3392 Mayflower Drive"/>
    <m/>
    <x v="0"/>
    <x v="4"/>
    <x v="0"/>
    <s v="No"/>
  </r>
  <r>
    <n v="1161"/>
    <x v="174"/>
    <s v="Friday"/>
    <s v="Same"/>
    <n v="53.75"/>
    <n v="10"/>
    <n v="0.18604651162790697"/>
    <n v="1.5"/>
    <d v="1899-12-30T20:53:00"/>
    <d v="1899-12-30T21:42:00"/>
    <d v="1899-12-30T00:49:00"/>
    <n v="49"/>
    <s v="1635 Torrey Pines Lane"/>
    <m/>
    <x v="0"/>
    <x v="0"/>
    <x v="0"/>
    <s v="No"/>
  </r>
  <r>
    <n v="1162"/>
    <x v="175"/>
    <s v="Saturday"/>
    <s v="Different"/>
    <n v="28.63"/>
    <n v="7"/>
    <n v="0.24449877750611249"/>
    <n v="1.5"/>
    <d v="1899-12-30T18:00:00"/>
    <d v="1899-12-30T18:38:00"/>
    <d v="1899-12-30T00:38:00"/>
    <n v="38"/>
    <s v="7001 Hansell Road"/>
    <m/>
    <x v="2"/>
    <x v="0"/>
    <x v="0"/>
    <s v="No"/>
  </r>
  <r>
    <n v="1163"/>
    <x v="175"/>
    <s v="Saturday"/>
    <s v="Same"/>
    <n v="68.09"/>
    <n v="6.91"/>
    <n v="0.1014833308855926"/>
    <n v="1.5"/>
    <d v="1899-12-30T18:08:00"/>
    <d v="1899-12-30T18:52:00"/>
    <d v="1899-12-30T00:44:00"/>
    <n v="44"/>
    <s v="4526 Oak Shores Drive"/>
    <m/>
    <x v="2"/>
    <x v="0"/>
    <x v="0"/>
    <s v="No"/>
  </r>
  <r>
    <n v="1164"/>
    <x v="175"/>
    <s v="Saturday"/>
    <s v="Same"/>
    <n v="36.43"/>
    <n v="10"/>
    <n v="0.27449903925336261"/>
    <n v="1.5"/>
    <d v="1899-12-30T18:11:00"/>
    <d v="1899-12-30T19:10:00"/>
    <d v="1899-12-30T00:59:00"/>
    <n v="59"/>
    <s v="5301 West Spring Creek Parkway"/>
    <n v="2233"/>
    <x v="2"/>
    <x v="0"/>
    <x v="1"/>
    <s v="No"/>
  </r>
  <r>
    <n v="1165"/>
    <x v="175"/>
    <s v="Saturday"/>
    <s v="Same"/>
    <n v="90.39"/>
    <n v="20"/>
    <n v="0.22126341409447947"/>
    <n v="1.5"/>
    <d v="1899-12-30T19:01:00"/>
    <d v="1899-12-30T19:42:00"/>
    <d v="1899-12-30T00:41:00"/>
    <n v="41"/>
    <s v="6521 Matson Drive"/>
    <m/>
    <x v="3"/>
    <x v="0"/>
    <x v="0"/>
    <s v="No"/>
  </r>
  <r>
    <n v="1166"/>
    <x v="175"/>
    <s v="Saturday"/>
    <s v="Same"/>
    <n v="39.46"/>
    <n v="5"/>
    <n v="0.12671059300557527"/>
    <n v="5"/>
    <d v="1899-12-30T19:12:00"/>
    <d v="1899-12-30T19:51:00"/>
    <d v="1899-12-30T00:39:00"/>
    <n v="39"/>
    <s v="4912 Arbor Glen Road"/>
    <m/>
    <x v="3"/>
    <x v="0"/>
    <x v="0"/>
    <s v="No"/>
  </r>
  <r>
    <n v="1167"/>
    <x v="175"/>
    <s v="Saturday"/>
    <s v="Same"/>
    <n v="30.85"/>
    <n v="5"/>
    <n v="0.16207455429497569"/>
    <n v="1.5"/>
    <d v="1899-12-30T19:04:00"/>
    <d v="1899-12-30T20:00:00"/>
    <d v="1899-12-30T00:56:00"/>
    <n v="56"/>
    <s v="3650 Plano Parkway"/>
    <m/>
    <x v="3"/>
    <x v="0"/>
    <x v="2"/>
    <s v="No"/>
  </r>
  <r>
    <n v="1168"/>
    <x v="175"/>
    <s v="Saturday"/>
    <s v="Same"/>
    <n v="33.56"/>
    <n v="5"/>
    <n v="0.14898688915375446"/>
    <n v="5"/>
    <d v="1899-12-30T19:53:00"/>
    <d v="1899-12-30T20:36:00"/>
    <d v="1899-12-30T00:43:00"/>
    <n v="43"/>
    <s v="3712 Canterbury Drive"/>
    <m/>
    <x v="3"/>
    <x v="0"/>
    <x v="0"/>
    <s v="No"/>
  </r>
  <r>
    <n v="1169"/>
    <x v="175"/>
    <s v="Saturday"/>
    <s v="Same"/>
    <n v="49.47"/>
    <n v="7"/>
    <n v="0.14149989892864362"/>
    <n v="5"/>
    <d v="1899-12-30T19:56:00"/>
    <d v="1899-12-30T20:40:00"/>
    <d v="1899-12-30T00:44:00"/>
    <n v="44"/>
    <s v="2570 Clearfield Lane"/>
    <m/>
    <x v="0"/>
    <x v="0"/>
    <x v="0"/>
    <s v="No"/>
  </r>
  <r>
    <n v="1170"/>
    <x v="175"/>
    <s v="Saturday"/>
    <s v="Same"/>
    <n v="171.79"/>
    <n v="40"/>
    <n v="0.23284242388963269"/>
    <n v="5"/>
    <d v="1899-12-30T20:51:00"/>
    <d v="1899-12-30T21:42:00"/>
    <d v="1899-12-30T00:51:00"/>
    <n v="51"/>
    <s v="1481 East Hillpark Road"/>
    <m/>
    <x v="1"/>
    <x v="0"/>
    <x v="0"/>
    <s v="No"/>
  </r>
  <r>
    <n v="1171"/>
    <x v="176"/>
    <s v="Monday"/>
    <s v="Different"/>
    <n v="18.89"/>
    <n v="4"/>
    <n v="0.21175224986765484"/>
    <n v="1.5"/>
    <d v="1899-12-30T17:07:00"/>
    <d v="1899-12-30T17:39:00"/>
    <d v="1899-12-30T00:32:00"/>
    <n v="32"/>
    <s v="2949 Parkwood Blvd"/>
    <n v="431"/>
    <x v="0"/>
    <x v="0"/>
    <x v="1"/>
    <s v="No"/>
  </r>
  <r>
    <n v="1172"/>
    <x v="176"/>
    <s v="Monday"/>
    <s v="Same"/>
    <n v="39.97"/>
    <n v="4.2300000000000004"/>
    <n v="0.10582937202902178"/>
    <n v="1.5"/>
    <d v="1899-12-30T16:59:00"/>
    <d v="1899-12-30T18:06:00"/>
    <d v="1899-12-30T01:07:00"/>
    <n v="67"/>
    <s v="11800 Waterford Lane"/>
    <m/>
    <x v="0"/>
    <x v="0"/>
    <x v="0"/>
    <s v="No"/>
  </r>
  <r>
    <n v="1173"/>
    <x v="176"/>
    <s v="Monday"/>
    <s v="Same"/>
    <n v="37.619999999999997"/>
    <n v="7"/>
    <n v="0.18607123870281767"/>
    <n v="1.5"/>
    <d v="1899-12-30T18:13:00"/>
    <d v="1899-12-30T19:02:00"/>
    <d v="1899-12-30T00:49:00"/>
    <n v="49"/>
    <s v="2237 Cardinal Blvd"/>
    <m/>
    <x v="4"/>
    <x v="0"/>
    <x v="0"/>
    <s v="No"/>
  </r>
  <r>
    <n v="1174"/>
    <x v="176"/>
    <s v="Monday"/>
    <s v="Same"/>
    <n v="33.020000000000003"/>
    <n v="6.98"/>
    <n v="0.2113870381586917"/>
    <n v="1.5"/>
    <d v="1899-12-30T18:21:00"/>
    <d v="1899-12-30T19:12:00"/>
    <d v="1899-12-30T00:51:00"/>
    <n v="51"/>
    <s v="6424 Blacktree Drive"/>
    <m/>
    <x v="2"/>
    <x v="0"/>
    <x v="0"/>
    <s v="No"/>
  </r>
  <r>
    <n v="1175"/>
    <x v="176"/>
    <s v="Monday"/>
    <s v="Same"/>
    <n v="21.33"/>
    <n v="7"/>
    <n v="0.3281762775433662"/>
    <n v="1.5"/>
    <d v="1899-12-30T18:34:00"/>
    <d v="1899-12-30T19:52:00"/>
    <d v="1899-12-30T01:18:00"/>
    <n v="78"/>
    <s v="8201 Town Main Drive"/>
    <n v="1425"/>
    <x v="2"/>
    <x v="0"/>
    <x v="1"/>
    <s v="No"/>
  </r>
  <r>
    <n v="1176"/>
    <x v="176"/>
    <s v="Monday"/>
    <s v="Same"/>
    <n v="18.89"/>
    <n v="10"/>
    <n v="0.52938062466913705"/>
    <n v="1.5"/>
    <d v="1899-12-30T19:06:00"/>
    <d v="1899-12-30T20:19:00"/>
    <d v="1899-12-30T01:13:00"/>
    <n v="73"/>
    <s v="5051 Lakehill Blvd"/>
    <m/>
    <x v="0"/>
    <x v="0"/>
    <x v="0"/>
    <s v="No"/>
  </r>
  <r>
    <n v="1177"/>
    <x v="176"/>
    <s v="Monday"/>
    <s v="Same"/>
    <n v="83.03"/>
    <n v="10"/>
    <n v="0.12043839576056847"/>
    <n v="5"/>
    <d v="1899-12-30T18:22:00"/>
    <d v="1899-12-30T20:37:00"/>
    <d v="1899-12-30T02:15:00"/>
    <n v="135"/>
    <s v="8931 High Meadows Drive"/>
    <m/>
    <x v="2"/>
    <x v="0"/>
    <x v="0"/>
    <s v="No"/>
  </r>
  <r>
    <n v="1178"/>
    <x v="177"/>
    <s v="Thursday"/>
    <s v="Different"/>
    <n v="115.02"/>
    <n v="15"/>
    <n v="0.13041210224308816"/>
    <n v="5"/>
    <d v="1899-12-30T18:52:00"/>
    <d v="1899-12-30T19:45:00"/>
    <d v="1899-12-30T00:53:00"/>
    <n v="53"/>
    <s v="6951 Filly Lane"/>
    <m/>
    <x v="0"/>
    <x v="0"/>
    <x v="0"/>
    <s v="No"/>
  </r>
  <r>
    <n v="1179"/>
    <x v="177"/>
    <s v="Thursday"/>
    <s v="Same"/>
    <n v="30.58"/>
    <n v="10"/>
    <n v="0.32701111837802488"/>
    <n v="5"/>
    <d v="1899-12-30T19:11:00"/>
    <d v="1899-12-30T20:26:00"/>
    <d v="1899-12-30T01:15:00"/>
    <n v="75"/>
    <s v="3740 Silver Oaks Lane"/>
    <m/>
    <x v="0"/>
    <x v="0"/>
    <x v="0"/>
    <s v="No"/>
  </r>
  <r>
    <n v="1180"/>
    <x v="177"/>
    <s v="Thursday"/>
    <s v="Same"/>
    <n v="36.53"/>
    <n v="3.47"/>
    <n v="9.4990418833835202E-2"/>
    <n v="1.5"/>
    <d v="1899-12-30T19:04:00"/>
    <d v="1899-12-30T20:18:00"/>
    <d v="1899-12-30T01:14:00"/>
    <n v="74"/>
    <s v="10 Post N Paddock "/>
    <m/>
    <x v="0"/>
    <x v="0"/>
    <x v="0"/>
    <s v="No"/>
  </r>
  <r>
    <n v="1181"/>
    <x v="177"/>
    <s v="Thursday"/>
    <s v="Same"/>
    <n v="29.99"/>
    <n v="5"/>
    <n v="0.16672224074691563"/>
    <n v="1.5"/>
    <d v="1899-12-30T19:10:00"/>
    <d v="1899-12-30T19:55:00"/>
    <d v="1899-12-30T00:45:00"/>
    <n v="45"/>
    <s v="4042 Guadalupe Lane"/>
    <m/>
    <x v="0"/>
    <x v="0"/>
    <x v="0"/>
    <s v="No"/>
  </r>
  <r>
    <n v="1182"/>
    <x v="178"/>
    <s v="Friday"/>
    <s v="Different"/>
    <n v="54.56"/>
    <n v="15"/>
    <n v="0.27492668621700878"/>
    <n v="1.5"/>
    <d v="1899-12-30T18:05:00"/>
    <d v="1899-12-30T18:37:00"/>
    <d v="1899-12-30T00:32:00"/>
    <n v="32"/>
    <s v="6808 Mulhouse Court"/>
    <m/>
    <x v="2"/>
    <x v="0"/>
    <x v="0"/>
    <s v="No"/>
  </r>
  <r>
    <n v="1183"/>
    <x v="178"/>
    <s v="Friday"/>
    <s v="Same"/>
    <n v="54.88"/>
    <n v="5"/>
    <n v="9.1107871720116612E-2"/>
    <n v="5"/>
    <d v="1899-12-30T18:30:00"/>
    <d v="1899-12-30T19:15:00"/>
    <d v="1899-12-30T00:45:00"/>
    <n v="45"/>
    <s v="8871 Crestview Drive"/>
    <m/>
    <x v="0"/>
    <x v="0"/>
    <x v="0"/>
    <s v="No"/>
  </r>
  <r>
    <n v="1184"/>
    <x v="178"/>
    <s v="Friday"/>
    <s v="Same"/>
    <n v="39.130000000000003"/>
    <n v="5"/>
    <n v="0.12777919754663941"/>
    <n v="1.5"/>
    <d v="1899-12-30T18:32:00"/>
    <d v="1899-12-30T19:31:00"/>
    <d v="1899-12-30T00:59:00"/>
    <n v="59"/>
    <s v="5608 Plantation Lane"/>
    <m/>
    <x v="0"/>
    <x v="0"/>
    <x v="0"/>
    <s v="No"/>
  </r>
  <r>
    <n v="1185"/>
    <x v="178"/>
    <s v="Friday"/>
    <s v="Same"/>
    <n v="12.45"/>
    <n v="25"/>
    <n v="2.0080321285140563"/>
    <n v="1.5"/>
    <d v="1899-12-30T18:36:00"/>
    <d v="1899-12-30T19:39:00"/>
    <d v="1899-12-30T01:03:00"/>
    <n v="63"/>
    <s v="10098 Summit Run Drive"/>
    <m/>
    <x v="0"/>
    <x v="0"/>
    <x v="0"/>
    <s v="No"/>
  </r>
  <r>
    <n v="1186"/>
    <x v="178"/>
    <s v="Friday"/>
    <s v="Same"/>
    <n v="17.86"/>
    <n v="5"/>
    <n v="0.27995520716685329"/>
    <n v="5"/>
    <d v="1899-12-30T19:29:00"/>
    <d v="1899-12-30T20:15:00"/>
    <d v="1899-12-30T00:46:00"/>
    <n v="46.000000000000007"/>
    <s v="6900 Preston Road"/>
    <n v="3712"/>
    <x v="2"/>
    <x v="0"/>
    <x v="1"/>
    <s v="No"/>
  </r>
  <r>
    <n v="1187"/>
    <x v="178"/>
    <s v="Friday"/>
    <s v="Same"/>
    <n v="25.11"/>
    <n v="4.8899999999999997"/>
    <n v="0.19474313022700118"/>
    <n v="1.5"/>
    <d v="1899-12-30T19:26:00"/>
    <d v="1899-12-30T20:24:00"/>
    <d v="1899-12-30T00:58:00"/>
    <n v="58.000000000000007"/>
    <s v="8748 Manhattan Avenue"/>
    <m/>
    <x v="2"/>
    <x v="0"/>
    <x v="0"/>
    <s v="No"/>
  </r>
  <r>
    <n v="1188"/>
    <x v="178"/>
    <s v="Friday"/>
    <s v="Same"/>
    <n v="49.8"/>
    <n v="7"/>
    <n v="0.14056224899598393"/>
    <n v="1.5"/>
    <d v="1899-12-30T19:40:00"/>
    <d v="1899-12-30T20:34:00"/>
    <d v="1899-12-30T00:54:00"/>
    <n v="53.999999999999993"/>
    <s v="4925 Razor Blvd"/>
    <n v="214"/>
    <x v="2"/>
    <x v="0"/>
    <x v="1"/>
    <s v="No"/>
  </r>
  <r>
    <n v="1189"/>
    <x v="178"/>
    <s v="Friday"/>
    <s v="Same"/>
    <n v="65.33"/>
    <n v="6.47"/>
    <n v="9.9035665084953317E-2"/>
    <n v="1.5"/>
    <d v="1899-12-30T20:18:00"/>
    <d v="1899-12-30T20:53:00"/>
    <d v="1899-12-30T00:35:00"/>
    <n v="35"/>
    <s v="10707 Turtle Creek Lane"/>
    <m/>
    <x v="0"/>
    <x v="0"/>
    <x v="0"/>
    <s v="No"/>
  </r>
  <r>
    <n v="1190"/>
    <x v="179"/>
    <s v="Saturday"/>
    <s v="Different"/>
    <n v="31.88"/>
    <n v="3.12"/>
    <n v="9.7867001254705155E-2"/>
    <n v="1.5"/>
    <d v="1899-12-30T16:21:00"/>
    <d v="1899-12-30T17:20:00"/>
    <d v="1899-12-30T00:59:00"/>
    <n v="59"/>
    <s v="8400 Stonebrook Parkway"/>
    <n v="1222"/>
    <x v="0"/>
    <x v="0"/>
    <x v="1"/>
    <s v="No"/>
  </r>
  <r>
    <n v="1191"/>
    <x v="179"/>
    <s v="Saturday"/>
    <s v="Same"/>
    <n v="16.510000000000002"/>
    <n v="6"/>
    <n v="0.36341611144760749"/>
    <n v="1.5"/>
    <d v="1899-12-30T16:42:00"/>
    <d v="1899-12-30T17:26:00"/>
    <d v="1899-12-30T00:44:00"/>
    <n v="44"/>
    <s v="8400 Hickory Street"/>
    <n v="2303"/>
    <x v="0"/>
    <x v="0"/>
    <x v="1"/>
    <s v="No"/>
  </r>
  <r>
    <n v="1192"/>
    <x v="179"/>
    <s v="Saturday"/>
    <s v="Same"/>
    <n v="45.36"/>
    <n v="10"/>
    <n v="0.22045855379188714"/>
    <n v="1.5"/>
    <d v="1899-12-30T17:56:00"/>
    <d v="1899-12-30T18:23:00"/>
    <d v="1899-12-30T00:27:00"/>
    <n v="26.999999999999996"/>
    <s v="4116 Hearthlight Court"/>
    <m/>
    <x v="2"/>
    <x v="0"/>
    <x v="0"/>
    <s v="No"/>
  </r>
  <r>
    <n v="1193"/>
    <x v="179"/>
    <s v="Saturday"/>
    <s v="Same"/>
    <n v="14.51"/>
    <n v="5"/>
    <n v="0.34458993797381116"/>
    <n v="5"/>
    <d v="1899-12-30T18:27:00"/>
    <d v="1899-12-30T19:10:00"/>
    <d v="1899-12-30T00:43:00"/>
    <n v="43"/>
    <s v="4231 Berry Ridge Lane"/>
    <m/>
    <x v="0"/>
    <x v="0"/>
    <x v="0"/>
    <s v="No"/>
  </r>
  <r>
    <n v="1194"/>
    <x v="179"/>
    <s v="Saturday"/>
    <s v="Same"/>
    <n v="18.350000000000001"/>
    <n v="3"/>
    <n v="0.16348773841961853"/>
    <n v="1.5"/>
    <d v="1899-12-30T18:44:00"/>
    <d v="1899-12-30T19:24:00"/>
    <d v="1899-12-30T00:40:00"/>
    <n v="40"/>
    <s v="4062 Sevilla Drive"/>
    <m/>
    <x v="0"/>
    <x v="0"/>
    <x v="0"/>
    <s v="No"/>
  </r>
  <r>
    <n v="1195"/>
    <x v="179"/>
    <s v="Saturday"/>
    <s v="Same"/>
    <n v="29.71"/>
    <n v="4"/>
    <n v="0.13463480309660047"/>
    <n v="5"/>
    <d v="1899-12-30T19:26:00"/>
    <d v="1899-12-30T20:27:00"/>
    <d v="1899-12-30T01:01:00"/>
    <n v="61"/>
    <s v="2901 Appalachian Lane"/>
    <m/>
    <x v="0"/>
    <x v="0"/>
    <x v="0"/>
    <s v="No"/>
  </r>
  <r>
    <n v="1196"/>
    <x v="179"/>
    <s v="Saturday"/>
    <s v="Same"/>
    <n v="88.61"/>
    <n v="5"/>
    <n v="5.6427039837490124E-2"/>
    <n v="5"/>
    <d v="1899-12-30T19:45:00"/>
    <d v="1899-12-30T20:40:00"/>
    <d v="1899-12-30T00:55:00"/>
    <n v="54.999999999999993"/>
    <s v="10817 Breezewood Drive"/>
    <m/>
    <x v="0"/>
    <x v="0"/>
    <x v="0"/>
    <s v="No"/>
  </r>
  <r>
    <n v="1197"/>
    <x v="179"/>
    <s v="Saturday"/>
    <s v="Same"/>
    <n v="36.75"/>
    <n v="6"/>
    <n v="0.16326530612244897"/>
    <n v="1.5"/>
    <d v="1899-12-30T20:20:00"/>
    <d v="1899-12-30T21:16:00"/>
    <d v="1899-12-30T00:56:00"/>
    <n v="56"/>
    <s v="7850 Clara Drive"/>
    <n v="7207"/>
    <x v="2"/>
    <x v="0"/>
    <x v="1"/>
    <s v="No"/>
  </r>
  <r>
    <n v="1198"/>
    <x v="179"/>
    <s v="Saturday"/>
    <s v="Same"/>
    <n v="23.27"/>
    <n v="16.73"/>
    <n v="0.71895143962183072"/>
    <n v="1.5"/>
    <d v="1899-12-30T20:34:00"/>
    <d v="1899-12-30T21:25:00"/>
    <d v="1899-12-30T00:51:00"/>
    <n v="51"/>
    <s v="2356 Chelsea Drive"/>
    <m/>
    <x v="0"/>
    <x v="0"/>
    <x v="0"/>
    <s v="No"/>
  </r>
  <r>
    <n v="1199"/>
    <x v="179"/>
    <s v="Saturday"/>
    <s v="Same"/>
    <n v="43.19"/>
    <n v="4"/>
    <n v="9.26140310257004E-2"/>
    <n v="1.5"/>
    <d v="1899-12-30T20:32:00"/>
    <d v="1899-12-30T21:36:00"/>
    <d v="1899-12-30T01:04:00"/>
    <n v="64"/>
    <s v="10900 Tree Shadow Lane"/>
    <m/>
    <x v="0"/>
    <x v="0"/>
    <x v="0"/>
    <s v="No"/>
  </r>
  <r>
    <n v="1200"/>
    <x v="179"/>
    <s v="Saturday"/>
    <s v="Same"/>
    <n v="18.079999999999998"/>
    <n v="3"/>
    <n v="0.16592920353982302"/>
    <n v="1.5"/>
    <d v="1899-12-30T21:23:00"/>
    <d v="1899-12-30T22:09:00"/>
    <d v="1899-12-30T00:46:00"/>
    <n v="46.000000000000007"/>
    <s v="5720 Frisco Square Blvd"/>
    <n v="1030"/>
    <x v="0"/>
    <x v="0"/>
    <x v="1"/>
    <s v="No"/>
  </r>
  <r>
    <n v="1201"/>
    <x v="180"/>
    <s v="Monday"/>
    <s v="Different"/>
    <n v="25.44"/>
    <n v="9.56"/>
    <n v="0.37578616352201261"/>
    <n v="1.5"/>
    <d v="1899-12-30T18:02:00"/>
    <d v="1899-12-30T19:00:00"/>
    <d v="1899-12-30T00:58:00"/>
    <n v="58.000000000000007"/>
    <s v="3312 Westwind Drive"/>
    <m/>
    <x v="2"/>
    <x v="0"/>
    <x v="0"/>
    <s v="No"/>
  </r>
  <r>
    <n v="1202"/>
    <x v="180"/>
    <s v="Monday"/>
    <s v="Same"/>
    <n v="15.7"/>
    <n v="4.3"/>
    <n v="0.27388535031847133"/>
    <n v="1.5"/>
    <d v="1899-12-30T18:06:00"/>
    <d v="1899-12-30T19:10:00"/>
    <d v="1899-12-30T01:04:00"/>
    <n v="64"/>
    <s v="6412 Riverside Drive"/>
    <m/>
    <x v="2"/>
    <x v="0"/>
    <x v="0"/>
    <s v="No"/>
  </r>
  <r>
    <n v="1203"/>
    <x v="180"/>
    <s v="Monday"/>
    <s v="Same"/>
    <n v="43.24"/>
    <n v="5"/>
    <n v="0.11563367252543941"/>
    <n v="1.5"/>
    <d v="1899-12-30T18:19:00"/>
    <d v="1899-12-30T19:21:00"/>
    <d v="1899-12-30T01:02:00"/>
    <n v="62.000000000000007"/>
    <s v="2338 Chelsea Drive"/>
    <m/>
    <x v="0"/>
    <x v="0"/>
    <x v="0"/>
    <s v="No"/>
  </r>
  <r>
    <n v="1204"/>
    <x v="180"/>
    <s v="Monday"/>
    <s v="Same"/>
    <n v="38.65"/>
    <n v="7"/>
    <n v="0.18111254851228978"/>
    <n v="5"/>
    <d v="1899-12-30T19:07:00"/>
    <d v="1899-12-30T19:48:00"/>
    <d v="1899-12-30T00:41:00"/>
    <n v="41"/>
    <s v="15068 Mountain View Lane"/>
    <m/>
    <x v="0"/>
    <x v="0"/>
    <x v="0"/>
    <s v="No"/>
  </r>
  <r>
    <n v="1205"/>
    <x v="180"/>
    <s v="Monday"/>
    <s v="Same"/>
    <n v="52.5"/>
    <n v="8.5"/>
    <n v="0.16190476190476191"/>
    <n v="1.5"/>
    <d v="1899-12-30T19:19:00"/>
    <d v="1899-12-30T20:18:00"/>
    <d v="1899-12-30T00:59:00"/>
    <n v="59"/>
    <s v="5760 Daniel Road"/>
    <n v="7523"/>
    <x v="2"/>
    <x v="0"/>
    <x v="1"/>
    <s v="No"/>
  </r>
  <r>
    <n v="1206"/>
    <x v="180"/>
    <s v="Monday"/>
    <s v="Same"/>
    <n v="48.83"/>
    <n v="8.77"/>
    <n v="0.17960270325619496"/>
    <n v="5"/>
    <d v="1899-12-30T21:21:00"/>
    <d v="1899-12-30T22:02:00"/>
    <d v="1899-12-30T00:41:00"/>
    <n v="41"/>
    <s v="13329 Bois D'Arc Lane"/>
    <m/>
    <x v="0"/>
    <x v="0"/>
    <x v="0"/>
    <s v="No"/>
  </r>
  <r>
    <n v="1207"/>
    <x v="181"/>
    <s v="Saturday"/>
    <s v="Different"/>
    <n v="94.45"/>
    <n v="15"/>
    <n v="0.15881418740074113"/>
    <n v="5"/>
    <d v="1899-12-30T17:30:00"/>
    <d v="1899-12-30T17:30:00"/>
    <d v="1899-12-30T00:00:00"/>
    <n v="0"/>
    <s v="12553 Tealsky Drive"/>
    <m/>
    <x v="0"/>
    <x v="0"/>
    <x v="0"/>
    <s v="Yes"/>
  </r>
  <r>
    <n v="1208"/>
    <x v="181"/>
    <s v="Saturday"/>
    <s v="Same"/>
    <n v="50.55"/>
    <n v="10"/>
    <n v="0.19782393669634027"/>
    <n v="1.5"/>
    <d v="1899-12-30T16:58:00"/>
    <d v="1899-12-30T17:55:00"/>
    <d v="1899-12-30T00:57:00"/>
    <n v="57"/>
    <s v="5652 Monterey Drive"/>
    <m/>
    <x v="0"/>
    <x v="2"/>
    <x v="0"/>
    <s v="No"/>
  </r>
  <r>
    <n v="1209"/>
    <x v="181"/>
    <s v="Saturday"/>
    <s v="Same"/>
    <n v="22.41"/>
    <n v="3"/>
    <n v="0.13386880856760375"/>
    <n v="1.5"/>
    <d v="1899-12-30T18:13:00"/>
    <d v="1899-12-30T18:44:00"/>
    <d v="1899-12-30T00:31:00"/>
    <n v="31.000000000000004"/>
    <s v="3205 Mason Drive"/>
    <m/>
    <x v="2"/>
    <x v="0"/>
    <x v="0"/>
    <s v="No"/>
  </r>
  <r>
    <n v="1210"/>
    <x v="181"/>
    <s v="Saturday"/>
    <s v="Same"/>
    <n v="104.57"/>
    <n v="20"/>
    <n v="0.1912594434350196"/>
    <n v="1.5"/>
    <d v="1899-12-30T19:12:00"/>
    <d v="1899-12-30T19:43:00"/>
    <d v="1899-12-30T00:31:00"/>
    <n v="31.000000000000004"/>
    <s v="5397 Spicewood Lane"/>
    <m/>
    <x v="0"/>
    <x v="2"/>
    <x v="0"/>
    <s v="No"/>
  </r>
  <r>
    <n v="1211"/>
    <x v="181"/>
    <s v="Saturday"/>
    <s v="Same"/>
    <n v="48.93"/>
    <n v="5"/>
    <n v="0.10218679746576742"/>
    <n v="1.5"/>
    <d v="1899-12-30T19:17:00"/>
    <d v="1899-12-30T19:46:00"/>
    <d v="1899-12-30T00:29:00"/>
    <n v="29.000000000000004"/>
    <s v="5398 Jessica Lane"/>
    <m/>
    <x v="0"/>
    <x v="2"/>
    <x v="0"/>
    <s v="No"/>
  </r>
  <r>
    <n v="1212"/>
    <x v="181"/>
    <s v="Saturday"/>
    <s v="Same"/>
    <n v="45.19"/>
    <n v="7"/>
    <n v="0.15490152688647932"/>
    <n v="1.5"/>
    <d v="1899-12-30T19:53:00"/>
    <d v="1899-12-30T20:18:00"/>
    <d v="1899-12-30T00:25:00"/>
    <n v="25"/>
    <s v="8201 Preston Creek Drive"/>
    <m/>
    <x v="2"/>
    <x v="0"/>
    <x v="0"/>
    <s v="No"/>
  </r>
  <r>
    <n v="1213"/>
    <x v="181"/>
    <s v="Saturday"/>
    <s v="Same"/>
    <n v="40.590000000000003"/>
    <n v="0"/>
    <n v="0"/>
    <n v="5"/>
    <d v="1899-12-30T20:37:00"/>
    <d v="1899-12-30T21:13:00"/>
    <d v="1899-12-30T00:36:00"/>
    <n v="36"/>
    <s v="4653 The Landings Court"/>
    <m/>
    <x v="0"/>
    <x v="0"/>
    <x v="0"/>
    <s v="No"/>
  </r>
  <r>
    <n v="1214"/>
    <x v="181"/>
    <s v="Saturday"/>
    <s v="Same"/>
    <n v="57.37"/>
    <n v="4"/>
    <n v="6.9722851664633087E-2"/>
    <n v="1.5"/>
    <d v="1899-12-30T20:44:00"/>
    <d v="1899-12-30T21:32:00"/>
    <d v="1899-12-30T00:48:00"/>
    <n v="48"/>
    <s v="5625 Big River Drive"/>
    <m/>
    <x v="3"/>
    <x v="0"/>
    <x v="0"/>
    <s v="No"/>
  </r>
  <r>
    <n v="1215"/>
    <x v="182"/>
    <s v="Sunday"/>
    <s v="Different"/>
    <n v="74.31"/>
    <n v="13.85"/>
    <n v="0.18638137531960705"/>
    <n v="1.5"/>
    <d v="1899-12-30T17:22:00"/>
    <d v="1899-12-30T17:59:00"/>
    <d v="1899-12-30T00:37:00"/>
    <n v="37"/>
    <s v="5582 Buena Vista Drive"/>
    <m/>
    <x v="0"/>
    <x v="2"/>
    <x v="0"/>
    <s v="No"/>
  </r>
  <r>
    <n v="1216"/>
    <x v="182"/>
    <s v="Sunday"/>
    <s v="Same"/>
    <n v="43.19"/>
    <n v="10"/>
    <n v="0.23153507756425099"/>
    <n v="1.5"/>
    <d v="1899-12-30T17:32:00"/>
    <d v="1899-12-30T18:06:00"/>
    <d v="1899-12-30T00:34:00"/>
    <n v="34"/>
    <s v="6048 Canvas Back Drive"/>
    <m/>
    <x v="0"/>
    <x v="2"/>
    <x v="0"/>
    <s v="No"/>
  </r>
  <r>
    <n v="1217"/>
    <x v="182"/>
    <s v="Sunday"/>
    <s v="Same"/>
    <n v="49.69"/>
    <n v="10"/>
    <n v="0.20124773596297044"/>
    <n v="1.5"/>
    <d v="1899-12-30T17:55:00"/>
    <d v="1899-12-30T19:05:00"/>
    <d v="1899-12-30T01:10:00"/>
    <n v="70"/>
    <s v="8516 Moraine Drive"/>
    <m/>
    <x v="0"/>
    <x v="0"/>
    <x v="0"/>
    <s v="No"/>
  </r>
  <r>
    <n v="1218"/>
    <x v="182"/>
    <s v="Sunday"/>
    <s v="Same"/>
    <n v="43.79"/>
    <n v="7"/>
    <n v="0.15985384791048185"/>
    <n v="1.5"/>
    <d v="1899-12-30T18:07:00"/>
    <d v="1899-12-30T19:12:00"/>
    <d v="1899-12-30T01:05:00"/>
    <n v="65"/>
    <s v="7721 Kings Ridge Road"/>
    <m/>
    <x v="0"/>
    <x v="0"/>
    <x v="0"/>
    <s v="No"/>
  </r>
  <r>
    <n v="1219"/>
    <x v="182"/>
    <s v="Sunday"/>
    <s v="Same"/>
    <n v="46.44"/>
    <n v="7"/>
    <n v="0.15073212747631354"/>
    <n v="5"/>
    <d v="1899-12-30T18:34:00"/>
    <d v="1899-12-30T19:25:00"/>
    <d v="1899-12-30T00:51:00"/>
    <n v="51"/>
    <s v="12249 Lazio Lane"/>
    <m/>
    <x v="0"/>
    <x v="0"/>
    <x v="0"/>
    <s v="No"/>
  </r>
  <r>
    <n v="1220"/>
    <x v="182"/>
    <s v="Sunday"/>
    <s v="Same"/>
    <n v="19.7"/>
    <n v="4"/>
    <n v="0.20304568527918782"/>
    <n v="1.5"/>
    <d v="1899-12-30T18:35:00"/>
    <d v="1899-12-30T19:40:00"/>
    <d v="1899-12-30T01:05:00"/>
    <n v="65"/>
    <s v="10217 Natalie Drive"/>
    <m/>
    <x v="0"/>
    <x v="0"/>
    <x v="0"/>
    <s v="No"/>
  </r>
  <r>
    <n v="1221"/>
    <x v="182"/>
    <s v="Sunday"/>
    <s v="Same"/>
    <n v="16.239999999999998"/>
    <n v="3.76"/>
    <n v="0.23152709359605914"/>
    <n v="1.5"/>
    <d v="1899-12-30T18:58:00"/>
    <d v="1899-12-30T20:08:00"/>
    <d v="1899-12-30T01:10:00"/>
    <n v="70"/>
    <s v="105 Myers Avenue"/>
    <m/>
    <x v="0"/>
    <x v="0"/>
    <x v="1"/>
    <s v="No"/>
  </r>
  <r>
    <n v="1222"/>
    <x v="182"/>
    <s v="Sunday"/>
    <s v="Same"/>
    <n v="35.67"/>
    <n v="5"/>
    <n v="0.14017381553125877"/>
    <n v="1.5"/>
    <d v="1899-12-30T19:08:00"/>
    <d v="1899-12-30T20:17:00"/>
    <d v="1899-12-30T01:09:00"/>
    <n v="69"/>
    <s v="2045 Mason Drive"/>
    <m/>
    <x v="0"/>
    <x v="0"/>
    <x v="0"/>
    <s v="No"/>
  </r>
  <r>
    <n v="1223"/>
    <x v="182"/>
    <s v="Sunday"/>
    <s v="Same"/>
    <n v="33.5"/>
    <n v="3"/>
    <n v="8.9552238805970144E-2"/>
    <n v="5"/>
    <d v="1899-12-30T19:15:00"/>
    <d v="1899-12-30T20:32:00"/>
    <d v="1899-12-30T01:17:00"/>
    <n v="77"/>
    <s v="7501 Spruce Creek Lane"/>
    <m/>
    <x v="0"/>
    <x v="0"/>
    <x v="0"/>
    <s v="No"/>
  </r>
  <r>
    <n v="1224"/>
    <x v="183"/>
    <s v="Friday"/>
    <s v="Different"/>
    <n v="47.79"/>
    <n v="10"/>
    <n v="0.2092487968194183"/>
    <n v="5"/>
    <d v="1899-12-30T17:58:00"/>
    <d v="1899-12-30T18:50:00"/>
    <d v="1899-12-30T00:52:00"/>
    <n v="52"/>
    <s v="6475 Basilwood Drive"/>
    <m/>
    <x v="0"/>
    <x v="0"/>
    <x v="0"/>
    <s v="No"/>
  </r>
  <r>
    <n v="1225"/>
    <x v="183"/>
    <s v="Friday"/>
    <s v="Same"/>
    <n v="23.49"/>
    <n v="15.51"/>
    <n v="0.66028097062579827"/>
    <n v="5"/>
    <d v="1899-12-30T18:03:00"/>
    <d v="1899-12-30T19:05:00"/>
    <d v="1899-12-30T01:02:00"/>
    <n v="62.000000000000007"/>
    <s v="8061 Hillside Drive"/>
    <m/>
    <x v="0"/>
    <x v="0"/>
    <x v="0"/>
    <s v="No"/>
  </r>
  <r>
    <n v="1226"/>
    <x v="183"/>
    <s v="Friday"/>
    <s v="Same"/>
    <n v="42.65"/>
    <n v="6"/>
    <n v="0.1406799531066823"/>
    <n v="5"/>
    <d v="1899-12-30T18:01:00"/>
    <d v="1899-12-30T19:13:00"/>
    <d v="1899-12-30T01:12:00"/>
    <n v="72"/>
    <s v="7950 Meadow Hill Drive"/>
    <m/>
    <x v="0"/>
    <x v="0"/>
    <x v="0"/>
    <s v="No"/>
  </r>
  <r>
    <n v="1227"/>
    <x v="183"/>
    <s v="Friday"/>
    <s v="Same"/>
    <n v="25.44"/>
    <n v="4.5599999999999996"/>
    <n v="0.17924528301886791"/>
    <n v="1.5"/>
    <d v="1899-12-30T18:10:00"/>
    <d v="1899-12-30T19:24:00"/>
    <d v="1899-12-30T01:14:00"/>
    <n v="74"/>
    <s v="8530 Hidden Springs Drive"/>
    <m/>
    <x v="0"/>
    <x v="0"/>
    <x v="0"/>
    <s v="No"/>
  </r>
  <r>
    <n v="1228"/>
    <x v="183"/>
    <s v="Friday"/>
    <s v="Same"/>
    <n v="50.23"/>
    <n v="9.76"/>
    <n v="0.19430619151901254"/>
    <n v="5"/>
    <d v="1899-12-30T19:23:00"/>
    <d v="1899-12-30T20:11:00"/>
    <d v="1899-12-30T00:48:00"/>
    <n v="48"/>
    <s v="10387 Burnt Mill Lane"/>
    <m/>
    <x v="0"/>
    <x v="0"/>
    <x v="0"/>
    <s v="No"/>
  </r>
  <r>
    <n v="1229"/>
    <x v="183"/>
    <s v="Friday"/>
    <s v="Same"/>
    <n v="34.590000000000003"/>
    <n v="4.41"/>
    <n v="0.12749349522983519"/>
    <n v="5"/>
    <d v="1899-12-30T19:26:00"/>
    <d v="1899-12-30T20:25:00"/>
    <d v="1899-12-30T00:59:00"/>
    <n v="59"/>
    <s v="11295 Graceland Lane"/>
    <m/>
    <x v="0"/>
    <x v="0"/>
    <x v="0"/>
    <s v="No"/>
  </r>
  <r>
    <n v="1230"/>
    <x v="183"/>
    <s v="Friday"/>
    <s v="Same"/>
    <n v="20.03"/>
    <n v="4"/>
    <n v="0.19970044932601097"/>
    <n v="1.5"/>
    <d v="1899-12-30T20:20:00"/>
    <d v="1899-12-30T21:14:00"/>
    <d v="1899-12-30T00:54:00"/>
    <n v="53.999999999999993"/>
    <s v="6016 Lost Valley Drive"/>
    <m/>
    <x v="3"/>
    <x v="0"/>
    <x v="0"/>
    <s v="No"/>
  </r>
  <r>
    <n v="1231"/>
    <x v="183"/>
    <s v="Friday"/>
    <s v="Same"/>
    <n v="41.14"/>
    <n v="10"/>
    <n v="0.24307243558580457"/>
    <n v="1.5"/>
    <d v="1899-12-30T20:21:00"/>
    <d v="1899-12-30T21:37:00"/>
    <d v="1899-12-30T01:16:00"/>
    <n v="76"/>
    <s v="2355 Lebanon Drive"/>
    <n v="16301"/>
    <x v="0"/>
    <x v="0"/>
    <x v="1"/>
    <s v="No"/>
  </r>
  <r>
    <n v="1232"/>
    <x v="184"/>
    <s v="Saturday"/>
    <s v="Different"/>
    <n v="44.82"/>
    <n v="3"/>
    <n v="6.6934404283801874E-2"/>
    <n v="5"/>
    <d v="1899-12-30T16:42:00"/>
    <d v="1899-12-30T17:26:00"/>
    <d v="1899-12-30T00:44:00"/>
    <n v="44"/>
    <s v="6847 Bendbrook Drive"/>
    <m/>
    <x v="0"/>
    <x v="0"/>
    <x v="0"/>
    <s v="No"/>
  </r>
  <r>
    <n v="1233"/>
    <x v="184"/>
    <s v="Saturday"/>
    <s v="Same"/>
    <n v="43.19"/>
    <n v="6"/>
    <n v="0.13892104653855059"/>
    <n v="1.5"/>
    <d v="1899-12-30T17:39:00"/>
    <d v="1899-12-30T18:22:00"/>
    <d v="1899-12-30T00:43:00"/>
    <n v="43"/>
    <s v="6578 Bluffview Drive"/>
    <m/>
    <x v="0"/>
    <x v="0"/>
    <x v="0"/>
    <s v="No"/>
  </r>
  <r>
    <n v="1234"/>
    <x v="184"/>
    <s v="Saturday"/>
    <s v="Same"/>
    <n v="36.479999999999997"/>
    <n v="5"/>
    <n v="0.13706140350877194"/>
    <n v="1.5"/>
    <d v="1899-12-30T17:49:00"/>
    <d v="1899-12-30T18:35:00"/>
    <d v="1899-12-30T00:46:00"/>
    <n v="46.000000000000007"/>
    <s v="12004 Hermitage Lane"/>
    <m/>
    <x v="0"/>
    <x v="0"/>
    <x v="0"/>
    <s v="No"/>
  </r>
  <r>
    <n v="1235"/>
    <x v="184"/>
    <s v="Saturday"/>
    <s v="Same"/>
    <n v="41.89"/>
    <n v="6"/>
    <n v="0.143232275005968"/>
    <n v="1.5"/>
    <d v="1899-12-30T18:00:00"/>
    <d v="1899-12-30T18:43:00"/>
    <d v="1899-12-30T00:43:00"/>
    <n v="43"/>
    <s v="7534 Seawood Drive"/>
    <m/>
    <x v="0"/>
    <x v="0"/>
    <x v="0"/>
    <s v="No"/>
  </r>
  <r>
    <n v="1236"/>
    <x v="184"/>
    <s v="Saturday"/>
    <s v="Same"/>
    <n v="38.369999999999997"/>
    <n v="3"/>
    <n v="7.8186082877247862E-2"/>
    <n v="1.5"/>
    <d v="1899-12-30T18:28:00"/>
    <d v="1899-12-30T19:21:00"/>
    <d v="1899-12-30T00:53:00"/>
    <n v="53"/>
    <s v="13969 Adare Manor"/>
    <m/>
    <x v="0"/>
    <x v="0"/>
    <x v="0"/>
    <s v="No"/>
  </r>
  <r>
    <n v="1237"/>
    <x v="184"/>
    <s v="Saturday"/>
    <s v="Same"/>
    <n v="28.15"/>
    <n v="5"/>
    <n v="0.17761989342806395"/>
    <n v="1.5"/>
    <d v="1899-12-30T18:43:00"/>
    <d v="1899-12-30T19:42:00"/>
    <d v="1899-12-30T00:59:00"/>
    <n v="59"/>
    <s v="10404 Megan Court"/>
    <m/>
    <x v="0"/>
    <x v="0"/>
    <x v="0"/>
    <s v="No"/>
  </r>
  <r>
    <n v="1238"/>
    <x v="184"/>
    <s v="Saturday"/>
    <s v="Same"/>
    <n v="21.05"/>
    <n v="10"/>
    <n v="0.47505938242280282"/>
    <n v="1.5"/>
    <d v="1899-12-30T19:42:00"/>
    <d v="1899-12-30T20:15:00"/>
    <d v="1899-12-30T00:33:00"/>
    <n v="33"/>
    <s v="1586 Morris Lane"/>
    <m/>
    <x v="0"/>
    <x v="0"/>
    <x v="0"/>
    <s v="No"/>
  </r>
  <r>
    <n v="1239"/>
    <x v="184"/>
    <s v="Saturday"/>
    <s v="Same"/>
    <n v="22.14"/>
    <n v="3"/>
    <n v="0.13550135501355012"/>
    <n v="1.5"/>
    <d v="1899-12-30T19:50:00"/>
    <d v="1899-12-30T20:28:00"/>
    <d v="1899-12-30T00:38:00"/>
    <n v="38"/>
    <s v="5995 Orchard Park Drive"/>
    <m/>
    <x v="0"/>
    <x v="2"/>
    <x v="0"/>
    <s v="No"/>
  </r>
  <r>
    <n v="1240"/>
    <x v="184"/>
    <s v="Saturday"/>
    <s v="Same"/>
    <n v="19.43"/>
    <n v="3"/>
    <n v="0.15440041173443128"/>
    <n v="1.5"/>
    <d v="1899-12-30T20:06:00"/>
    <d v="1899-12-30T21:03:00"/>
    <d v="1899-12-30T00:57:00"/>
    <n v="57"/>
    <s v="5384 Breckenridge Court"/>
    <m/>
    <x v="0"/>
    <x v="2"/>
    <x v="0"/>
    <s v="No"/>
  </r>
  <r>
    <n v="1241"/>
    <x v="184"/>
    <s v="Saturday"/>
    <s v="Same"/>
    <n v="24.9"/>
    <n v="5.0999999999999996"/>
    <n v="0.20481927710843373"/>
    <n v="1.5"/>
    <d v="1899-12-30T20:34:00"/>
    <d v="1899-12-30T21:15:00"/>
    <d v="1899-12-30T00:41:00"/>
    <n v="41"/>
    <s v="1 Pinehurst Court"/>
    <m/>
    <x v="0"/>
    <x v="1"/>
    <x v="0"/>
    <s v="No"/>
  </r>
  <r>
    <n v="1242"/>
    <x v="184"/>
    <s v="Saturday"/>
    <s v="Same"/>
    <n v="25.98"/>
    <n v="24.02"/>
    <n v="0.92455735180908383"/>
    <n v="1.5"/>
    <d v="1899-12-30T21:37:00"/>
    <d v="1899-12-30T21:57:00"/>
    <d v="1899-12-30T00:20:00"/>
    <n v="20"/>
    <s v="2356 Chelsea Drive"/>
    <m/>
    <x v="0"/>
    <x v="0"/>
    <x v="0"/>
    <s v="No"/>
  </r>
  <r>
    <n v="1243"/>
    <x v="184"/>
    <s v="Saturday"/>
    <s v="Same"/>
    <n v="54.29"/>
    <n v="5.71"/>
    <n v="0.10517590716522381"/>
    <n v="1.5"/>
    <d v="1899-12-30T21:30:00"/>
    <d v="1899-12-30T22:13:00"/>
    <d v="1899-12-30T00:43:00"/>
    <n v="43"/>
    <s v="8404 Warren Parkway"/>
    <n v="616"/>
    <x v="0"/>
    <x v="0"/>
    <x v="1"/>
    <s v="No"/>
  </r>
  <r>
    <n v="1244"/>
    <x v="185"/>
    <s v="Sunday"/>
    <s v="Different"/>
    <n v="85.14"/>
    <n v="5"/>
    <n v="5.8726802912849423E-2"/>
    <n v="5"/>
    <d v="1899-12-30T16:29:00"/>
    <d v="1899-12-30T17:21:00"/>
    <d v="1899-12-30T00:52:00"/>
    <n v="52"/>
    <s v="8609 Dewland Drive"/>
    <m/>
    <x v="5"/>
    <x v="0"/>
    <x v="0"/>
    <s v="No"/>
  </r>
  <r>
    <n v="1245"/>
    <x v="185"/>
    <s v="Sunday"/>
    <s v="Same"/>
    <n v="42.7"/>
    <n v="8"/>
    <n v="0.18735362997658078"/>
    <n v="1.5"/>
    <d v="1899-12-30T16:51:00"/>
    <d v="1899-12-30T17:37:00"/>
    <d v="1899-12-30T00:46:00"/>
    <n v="46.000000000000007"/>
    <s v="9700 Presthope Drive"/>
    <m/>
    <x v="0"/>
    <x v="0"/>
    <x v="0"/>
    <s v="No"/>
  </r>
  <r>
    <n v="1246"/>
    <x v="185"/>
    <s v="Sunday"/>
    <s v="Same"/>
    <n v="44.33"/>
    <n v="7"/>
    <n v="0.15790660951951274"/>
    <n v="1.5"/>
    <d v="1899-12-30T17:16:00"/>
    <d v="1899-12-30T18:11:00"/>
    <d v="1899-12-30T00:55:00"/>
    <n v="54.999999999999993"/>
    <s v="7721 Kings Ridge Road"/>
    <m/>
    <x v="0"/>
    <x v="0"/>
    <x v="0"/>
    <s v="No"/>
  </r>
  <r>
    <n v="1247"/>
    <x v="185"/>
    <s v="Sunday"/>
    <s v="Same"/>
    <n v="29.77"/>
    <n v="5"/>
    <n v="0.16795431642593214"/>
    <n v="1.5"/>
    <d v="1899-12-30T17:41:00"/>
    <d v="1899-12-30T18:26:00"/>
    <d v="1899-12-30T00:45:00"/>
    <n v="45"/>
    <s v="5800 Granite Parkway"/>
    <n v="550"/>
    <x v="2"/>
    <x v="0"/>
    <x v="3"/>
    <s v="No"/>
  </r>
  <r>
    <n v="1248"/>
    <x v="185"/>
    <s v="Sunday"/>
    <s v="Same"/>
    <n v="21.05"/>
    <n v="4"/>
    <n v="0.19002375296912113"/>
    <n v="1.5"/>
    <d v="1899-12-30T18:27:00"/>
    <d v="1899-12-30T19:03:00"/>
    <d v="1899-12-30T00:36:00"/>
    <n v="36"/>
    <s v="6743 Massa Lane"/>
    <m/>
    <x v="0"/>
    <x v="0"/>
    <x v="0"/>
    <s v="No"/>
  </r>
  <r>
    <n v="1249"/>
    <x v="185"/>
    <s v="Sunday"/>
    <s v="Same"/>
    <n v="41.3"/>
    <n v="5"/>
    <n v="0.12106537530266345"/>
    <n v="1.5"/>
    <d v="1899-12-30T18:35:00"/>
    <d v="1899-12-30T19:14:00"/>
    <d v="1899-12-30T00:39:00"/>
    <n v="39"/>
    <s v="5004 Buena Vista Drive"/>
    <m/>
    <x v="0"/>
    <x v="2"/>
    <x v="0"/>
    <s v="No"/>
  </r>
  <r>
    <n v="1250"/>
    <x v="185"/>
    <s v="Sunday"/>
    <s v="Same"/>
    <n v="29.77"/>
    <n v="3"/>
    <n v="0.10077258985555929"/>
    <n v="1.5"/>
    <d v="1899-12-30T18:25:00"/>
    <d v="1899-12-30T19:22:00"/>
    <d v="1899-12-30T00:57:00"/>
    <n v="57"/>
    <s v="4401 Druid Hills Drive"/>
    <m/>
    <x v="0"/>
    <x v="0"/>
    <x v="0"/>
    <s v="No"/>
  </r>
  <r>
    <n v="1251"/>
    <x v="185"/>
    <s v="Sunday"/>
    <s v="Same"/>
    <n v="26.74"/>
    <n v="2"/>
    <n v="7.4794315632011971E-2"/>
    <n v="5"/>
    <d v="1899-12-30T18:44:00"/>
    <d v="1899-12-30T19:32:00"/>
    <d v="1899-12-30T00:48:00"/>
    <n v="48"/>
    <s v="5854 Country View Lane"/>
    <m/>
    <x v="0"/>
    <x v="0"/>
    <x v="0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596095-B176-442B-A2CC-ECE5C3D38014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D22:E29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numFmtId="164" showAll="0"/>
    <pivotField dataField="1"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">
        <item x="4"/>
        <item x="5"/>
        <item x="6"/>
        <item x="2"/>
        <item x="1"/>
        <item x="3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5"/>
  </rowFields>
  <rowItems count="7">
    <i>
      <x v="5"/>
    </i>
    <i>
      <x v="1"/>
    </i>
    <i>
      <x v="3"/>
    </i>
    <i>
      <x v="4"/>
    </i>
    <i>
      <x v="2"/>
    </i>
    <i>
      <x/>
    </i>
    <i t="grand">
      <x/>
    </i>
  </rowItems>
  <colItems count="1">
    <i/>
  </colItems>
  <dataFields count="1">
    <dataField name="Average of Tip Percentage" fld="6" subtotal="average" baseField="15" baseItem="0" numFmtId="10"/>
  </dataFields>
  <chartFormats count="2">
    <chartFormat chart="1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0DFEE2-AFE5-498C-8010-3CFC9DBBE069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G5:H10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numFmtId="164" showAll="0"/>
    <pivotField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showAll="0"/>
    <pivotField showAll="0"/>
    <pivotField axis="axisRow" dataField="1" showAll="0" sortType="descending">
      <items count="5">
        <item x="1"/>
        <item x="3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6"/>
  </rowFields>
  <rowItems count="5">
    <i>
      <x v="3"/>
    </i>
    <i>
      <x/>
    </i>
    <i>
      <x v="2"/>
    </i>
    <i>
      <x v="1"/>
    </i>
    <i t="grand">
      <x/>
    </i>
  </rowItems>
  <colItems count="1">
    <i/>
  </colItems>
  <dataFields count="1">
    <dataField name="Count of Housing" fld="16" subtotal="count" baseField="0" baseItem="0"/>
  </dataFields>
  <chartFormats count="5">
    <chartFormat chart="1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7">
      <pivotArea type="data" outline="0" fieldPosition="0">
        <references count="2">
          <reference field="4294967294" count="1" selected="0">
            <x v="0"/>
          </reference>
          <reference field="16" count="1" selected="0">
            <x v="3"/>
          </reference>
        </references>
      </pivotArea>
    </chartFormat>
    <chartFormat chart="16" format="8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16" format="9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16" format="10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37ACEC-0384-45D0-BA2F-1343BBF0408D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G12:H20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numFmtId="164" showAll="0"/>
    <pivotField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axis="axisRow" dataField="1" showAll="0" sortType="descending">
      <items count="8">
        <item x="6"/>
        <item x="4"/>
        <item x="0"/>
        <item x="1"/>
        <item x="5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8">
    <i>
      <x v="2"/>
    </i>
    <i>
      <x v="5"/>
    </i>
    <i>
      <x v="6"/>
    </i>
    <i>
      <x v="1"/>
    </i>
    <i>
      <x v="3"/>
    </i>
    <i>
      <x v="4"/>
    </i>
    <i>
      <x/>
    </i>
    <i t="grand">
      <x/>
    </i>
  </rowItems>
  <colItems count="1">
    <i/>
  </colItems>
  <dataFields count="1">
    <dataField name="Count of City" fld="14" subtotal="count" baseField="0" baseItem="0"/>
  </dataFields>
  <chartFormats count="8">
    <chartFormat chart="16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0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16" format="1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16" format="12">
      <pivotArea type="data" outline="0" fieldPosition="0">
        <references count="2">
          <reference field="4294967294" count="1" selected="0">
            <x v="0"/>
          </reference>
          <reference field="14" count="1" selected="0">
            <x v="6"/>
          </reference>
        </references>
      </pivotArea>
    </chartFormat>
    <chartFormat chart="16" format="13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1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16" format="15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16" format="16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B85F49-0473-42FC-AD85-E9D36ED1F5A2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2">
  <location ref="D12:E20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numFmtId="164" showAll="0"/>
    <pivotField dataField="1"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axis="axisRow" showAll="0" sortType="descending">
      <items count="8">
        <item x="6"/>
        <item x="4"/>
        <item x="0"/>
        <item x="1"/>
        <item x="5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8">
    <i>
      <x v="2"/>
    </i>
    <i>
      <x v="3"/>
    </i>
    <i>
      <x v="6"/>
    </i>
    <i>
      <x v="1"/>
    </i>
    <i>
      <x v="4"/>
    </i>
    <i>
      <x v="5"/>
    </i>
    <i>
      <x/>
    </i>
    <i t="grand">
      <x/>
    </i>
  </rowItems>
  <colItems count="1">
    <i/>
  </colItems>
  <dataFields count="1">
    <dataField name="Average of Tip Percentage" fld="6" subtotal="average" baseField="15" baseItem="0" numFmtId="10"/>
  </dataFields>
  <chartFormats count="2">
    <chartFormat chart="1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8FA3FB-5643-4DE6-8273-6099AA171892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A22:B29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dataField="1" numFmtId="164" showAll="0"/>
    <pivotField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">
        <item x="4"/>
        <item x="5"/>
        <item x="6"/>
        <item x="2"/>
        <item x="1"/>
        <item x="3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5"/>
  </rowFields>
  <rowItems count="7">
    <i>
      <x v="3"/>
    </i>
    <i>
      <x v="1"/>
    </i>
    <i>
      <x v="4"/>
    </i>
    <i>
      <x v="5"/>
    </i>
    <i>
      <x v="2"/>
    </i>
    <i>
      <x/>
    </i>
    <i t="grand">
      <x/>
    </i>
  </rowItems>
  <colItems count="1">
    <i/>
  </colItems>
  <dataFields count="1">
    <dataField name="Average of Tip" fld="5" subtotal="average" baseField="0" baseItem="47478" numFmtId="164"/>
  </dataFields>
  <chartFormats count="3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48898-ECE8-4911-AA79-75979A8AFC14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A12:B20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dataField="1" numFmtId="164" showAll="0"/>
    <pivotField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axis="axisRow" showAll="0" sortType="descending">
      <items count="8">
        <item x="6"/>
        <item x="4"/>
        <item x="0"/>
        <item x="1"/>
        <item x="5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8">
    <i>
      <x v="3"/>
    </i>
    <i>
      <x v="4"/>
    </i>
    <i>
      <x v="1"/>
    </i>
    <i>
      <x v="2"/>
    </i>
    <i>
      <x v="6"/>
    </i>
    <i>
      <x v="5"/>
    </i>
    <i>
      <x/>
    </i>
    <i t="grand">
      <x/>
    </i>
  </rowItems>
  <colItems count="1">
    <i/>
  </colItems>
  <dataFields count="1">
    <dataField name="Average of Tip" fld="5" subtotal="average" baseField="0" baseItem="47478" numFmtId="164"/>
  </dataFields>
  <chartFormats count="3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980786-5D9A-414E-B491-C7A64E2F70DD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3">
  <location ref="D5:E10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numFmtId="164" showAll="0"/>
    <pivotField dataField="1"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showAll="0"/>
    <pivotField showAll="0"/>
    <pivotField axis="axisRow" showAll="0" sortType="descending">
      <items count="5">
        <item x="1"/>
        <item x="3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6"/>
  </rowFields>
  <rowItems count="5">
    <i>
      <x v="2"/>
    </i>
    <i>
      <x v="3"/>
    </i>
    <i>
      <x/>
    </i>
    <i>
      <x v="1"/>
    </i>
    <i t="grand">
      <x/>
    </i>
  </rowItems>
  <colItems count="1">
    <i/>
  </colItems>
  <dataFields count="1">
    <dataField name="Average of Tip Percentage" fld="6" subtotal="average" baseField="15" baseItem="0" numFmtId="10"/>
  </dataFields>
  <chartFormats count="2"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C3D178-6B31-4B61-BA1A-4C3560BAF7D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A5:B10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dataField="1" numFmtId="164" showAll="0"/>
    <pivotField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showAll="0"/>
    <pivotField showAll="0"/>
    <pivotField axis="axisRow" showAll="0" sortType="descending">
      <items count="5">
        <item x="1"/>
        <item x="3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6"/>
  </rowFields>
  <rowItems count="5">
    <i>
      <x v="1"/>
    </i>
    <i>
      <x v="3"/>
    </i>
    <i>
      <x v="2"/>
    </i>
    <i>
      <x/>
    </i>
    <i t="grand">
      <x/>
    </i>
  </rowItems>
  <colItems count="1">
    <i/>
  </colItems>
  <dataFields count="1">
    <dataField name="Average of Tip" fld="5" subtotal="average" baseField="0" baseItem="47478" numFmtId="164"/>
  </dataFields>
  <chartFormats count="2">
    <chartFormat chart="1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2F7EE7-DEE1-4CA4-BE65-E013F8368199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G22:H29" firstHeaderRow="1" firstDataRow="1" firstDataCol="1"/>
  <pivotFields count="21">
    <pivotField numFmtId="1" showAll="0"/>
    <pivotField numFmtId="14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showAll="0"/>
    <pivotField showAll="0"/>
    <pivotField numFmtId="164" showAll="0"/>
    <pivotField numFmtId="164" showAll="0"/>
    <pivotField numFmtId="10" showAll="0"/>
    <pivotField numFmtId="164" showAll="0"/>
    <pivotField numFmtId="166" showAll="0"/>
    <pivotField numFmtId="166" showAll="0"/>
    <pivotField numFmtId="165" showAll="0"/>
    <pivotField numFmtId="1" showAll="0"/>
    <pivotField showAll="0"/>
    <pivotField showAll="0"/>
    <pivotField showAll="0"/>
    <pivotField axis="axisRow" dataField="1" showAll="0" sortType="descending">
      <items count="8">
        <item x="4"/>
        <item x="5"/>
        <item x="6"/>
        <item x="2"/>
        <item x="1"/>
        <item x="3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5"/>
  </rowFields>
  <rowItems count="7">
    <i>
      <x v="3"/>
    </i>
    <i>
      <x v="4"/>
    </i>
    <i>
      <x v="5"/>
    </i>
    <i>
      <x/>
    </i>
    <i>
      <x v="1"/>
    </i>
    <i>
      <x v="2"/>
    </i>
    <i t="grand">
      <x/>
    </i>
  </rowItems>
  <colItems count="1">
    <i/>
  </colItems>
  <dataFields count="1">
    <dataField name="Count of Gated Community" fld="15" subtotal="count" baseField="0" baseItem="0"/>
  </dataFields>
  <chartFormats count="7">
    <chartFormat chart="1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9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16" format="10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16" format="1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16" format="12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6" format="13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16" format="14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P1256" totalsRowShown="0" headerRowDxfId="30" dataDxfId="29">
  <autoFilter ref="A5:P1256" xr:uid="{00000000-0009-0000-0100-000003000000}"/>
  <tableColumns count="16">
    <tableColumn id="1" xr3:uid="{00000000-0010-0000-0000-000001000000}" name="Order #" dataDxfId="28">
      <calculatedColumnFormula>ROW(A5)</calculatedColumnFormula>
    </tableColumn>
    <tableColumn id="16" xr3:uid="{00000000-0010-0000-0000-000010000000}" name="Date" dataDxfId="27"/>
    <tableColumn id="20" xr3:uid="{00000000-0010-0000-0000-000014000000}" name="Weekday" dataDxfId="26">
      <calculatedColumnFormula>TEXT(B6,"dddd")</calculatedColumnFormula>
    </tableColumn>
    <tableColumn id="19" xr3:uid="{00000000-0010-0000-0000-000013000000}" name="Match" dataDxfId="25">
      <calculatedColumnFormula>IF(B5=B6, "Same", "Different")</calculatedColumnFormula>
    </tableColumn>
    <tableColumn id="4" xr3:uid="{00000000-0010-0000-0000-000004000000}" name="Cost" dataDxfId="24"/>
    <tableColumn id="5" xr3:uid="{00000000-0010-0000-0000-000005000000}" name="Tip" dataDxfId="23"/>
    <tableColumn id="6" xr3:uid="{00000000-0010-0000-0000-000006000000}" name="Tip Percentage" dataDxfId="22">
      <calculatedColumnFormula>F6/E6</calculatedColumnFormula>
    </tableColumn>
    <tableColumn id="15" xr3:uid="{00000000-0010-0000-0000-00000F000000}" name="Delivery Fee" dataDxfId="21"/>
    <tableColumn id="7" xr3:uid="{00000000-0010-0000-0000-000007000000}" name="Order Time" dataDxfId="20"/>
    <tableColumn id="8" xr3:uid="{00000000-0010-0000-0000-000008000000}" name="Delivery Time" dataDxfId="19"/>
    <tableColumn id="3" xr3:uid="{59636753-7062-4B63-8144-34143AE0CE80}" name="Total Delivery Time" dataDxfId="18">
      <calculatedColumnFormula>Table3[[#This Row],[Delivery Time]]-Table3[[#This Row],[Order Time]]</calculatedColumnFormula>
    </tableColumn>
    <tableColumn id="2" xr3:uid="{1BE1457A-2D18-4808-B811-DA74670CB632}" name="Total Delivery Time (Minutes)" dataDxfId="17"/>
    <tableColumn id="11" xr3:uid="{00000000-0010-0000-0000-00000B000000}" name="City" dataDxfId="16"/>
    <tableColumn id="17" xr3:uid="{00000000-0010-0000-0000-000011000000}" name="Gated Community" dataDxfId="15"/>
    <tableColumn id="18" xr3:uid="{00000000-0010-0000-0000-000012000000}" name="Housing" dataDxfId="14"/>
    <tableColumn id="12" xr3:uid="{00000000-0010-0000-0000-00000C000000}" name="Preorder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1256"/>
  <sheetViews>
    <sheetView zoomScaleNormal="100" workbookViewId="0">
      <selection activeCell="G30" sqref="G30"/>
    </sheetView>
  </sheetViews>
  <sheetFormatPr defaultColWidth="9.140625" defaultRowHeight="15" x14ac:dyDescent="0.25"/>
  <cols>
    <col min="1" max="1" width="9.7109375" style="19" bestFit="1" customWidth="1"/>
    <col min="2" max="2" width="10.7109375" style="16" customWidth="1"/>
    <col min="3" max="4" width="11.7109375" style="16" hidden="1" customWidth="1"/>
    <col min="5" max="5" width="8.42578125" style="16" bestFit="1" customWidth="1"/>
    <col min="6" max="6" width="6.5703125" style="16" bestFit="1" customWidth="1"/>
    <col min="7" max="7" width="16.5703125" style="16" bestFit="1" customWidth="1"/>
    <col min="8" max="8" width="14.42578125" style="15" bestFit="1" customWidth="1"/>
    <col min="9" max="9" width="13.28515625" style="16" bestFit="1" customWidth="1"/>
    <col min="10" max="10" width="15.7109375" style="20" bestFit="1" customWidth="1"/>
    <col min="11" max="11" width="20.7109375" style="21" bestFit="1" customWidth="1"/>
    <col min="12" max="12" width="30.28515625" style="21" bestFit="1" customWidth="1"/>
    <col min="13" max="13" width="10.85546875" style="16" bestFit="1" customWidth="1"/>
    <col min="14" max="15" width="27.7109375" style="22" customWidth="1"/>
    <col min="16" max="16" width="11.140625" style="16" bestFit="1" customWidth="1"/>
    <col min="17" max="17" width="43.7109375" style="16" customWidth="1"/>
    <col min="18" max="21" width="11" style="16" customWidth="1"/>
    <col min="22" max="24" width="12" style="16" customWidth="1"/>
    <col min="25" max="25" width="12.140625" style="16" bestFit="1" customWidth="1"/>
    <col min="26" max="16384" width="9.140625" style="16"/>
  </cols>
  <sheetData>
    <row r="1" spans="1:28" x14ac:dyDescent="0.25">
      <c r="A1" s="48" t="s">
        <v>83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8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8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5" spans="1:28" x14ac:dyDescent="0.25">
      <c r="A5" s="23" t="s">
        <v>18</v>
      </c>
      <c r="B5" s="10" t="s">
        <v>2</v>
      </c>
      <c r="C5" s="25" t="s">
        <v>60</v>
      </c>
      <c r="D5" s="25" t="s">
        <v>61</v>
      </c>
      <c r="E5" s="11" t="s">
        <v>3</v>
      </c>
      <c r="F5" s="11" t="s">
        <v>4</v>
      </c>
      <c r="G5" s="12" t="s">
        <v>5</v>
      </c>
      <c r="H5" s="11" t="s">
        <v>30</v>
      </c>
      <c r="I5" s="13" t="s">
        <v>6</v>
      </c>
      <c r="J5" s="13" t="s">
        <v>7</v>
      </c>
      <c r="K5" s="27" t="s">
        <v>9</v>
      </c>
      <c r="L5" s="27" t="s">
        <v>77</v>
      </c>
      <c r="M5" s="10" t="s">
        <v>8</v>
      </c>
      <c r="N5" s="14" t="s">
        <v>21</v>
      </c>
      <c r="O5" s="14" t="s">
        <v>38</v>
      </c>
      <c r="P5" s="10" t="s">
        <v>10</v>
      </c>
      <c r="Q5" s="25"/>
      <c r="R5" s="10"/>
      <c r="S5" s="10"/>
      <c r="T5" s="10"/>
      <c r="U5" s="10"/>
      <c r="V5" s="10"/>
      <c r="W5" s="10"/>
      <c r="X5" s="10"/>
      <c r="Y5" s="10"/>
      <c r="Z5" s="15"/>
      <c r="AA5" s="10"/>
      <c r="AB5" s="10"/>
    </row>
    <row r="6" spans="1:28" x14ac:dyDescent="0.25">
      <c r="A6" s="17">
        <f t="shared" ref="A6:A69" si="0">ROW(A5)</f>
        <v>5</v>
      </c>
      <c r="B6" s="18">
        <v>42921</v>
      </c>
      <c r="C6" s="18" t="str">
        <f t="shared" ref="C6:C69" si="1">TEXT(B6,"dddd")</f>
        <v>Wednesday</v>
      </c>
      <c r="D6" s="10" t="str">
        <f t="shared" ref="D6:D69" si="2">IF(B5=B6, "Same", "Different")</f>
        <v>Different</v>
      </c>
      <c r="E6" s="11">
        <v>42.83</v>
      </c>
      <c r="F6" s="11">
        <v>10</v>
      </c>
      <c r="G6" s="12">
        <f t="shared" ref="G6:G69" si="3">F6/E6</f>
        <v>0.23348120476301659</v>
      </c>
      <c r="H6" s="11">
        <v>1.5</v>
      </c>
      <c r="I6" s="13">
        <v>0.75555555555555554</v>
      </c>
      <c r="J6" s="13">
        <v>0.77222222222222225</v>
      </c>
      <c r="K6" s="44">
        <f>Table3[[#This Row],[Delivery Time]]-Table3[[#This Row],[Order Time]]</f>
        <v>1.6666666666666718E-2</v>
      </c>
      <c r="L6" s="43">
        <v>24</v>
      </c>
      <c r="M6" s="10" t="s">
        <v>0</v>
      </c>
      <c r="N6" s="14"/>
      <c r="O6" s="14" t="s">
        <v>39</v>
      </c>
      <c r="P6" s="10" t="s">
        <v>20</v>
      </c>
      <c r="Q6" s="25"/>
      <c r="R6" s="10"/>
      <c r="S6" s="10"/>
      <c r="T6" s="10"/>
      <c r="U6" s="10"/>
      <c r="V6" s="10"/>
      <c r="W6" s="10"/>
      <c r="X6" s="10"/>
      <c r="Z6" s="15"/>
    </row>
    <row r="7" spans="1:28" x14ac:dyDescent="0.25">
      <c r="A7" s="17">
        <f t="shared" si="0"/>
        <v>6</v>
      </c>
      <c r="B7" s="18">
        <v>42921</v>
      </c>
      <c r="C7" s="18" t="str">
        <f t="shared" si="1"/>
        <v>Wednesday</v>
      </c>
      <c r="D7" s="10" t="str">
        <f t="shared" si="2"/>
        <v>Same</v>
      </c>
      <c r="E7" s="11">
        <v>22.14</v>
      </c>
      <c r="F7" s="11">
        <v>10</v>
      </c>
      <c r="G7" s="12">
        <f t="shared" si="3"/>
        <v>0.45167118337850043</v>
      </c>
      <c r="H7" s="11">
        <v>7</v>
      </c>
      <c r="I7" s="13">
        <v>0.80833333333333324</v>
      </c>
      <c r="J7" s="13">
        <v>0.8305555555555556</v>
      </c>
      <c r="K7" s="44">
        <f>Table3[[#This Row],[Delivery Time]]-Table3[[#This Row],[Order Time]]</f>
        <v>2.2222222222222365E-2</v>
      </c>
      <c r="L7" s="43">
        <v>32</v>
      </c>
      <c r="M7" s="10" t="s">
        <v>1</v>
      </c>
      <c r="N7" s="14"/>
      <c r="O7" s="14" t="s">
        <v>39</v>
      </c>
      <c r="P7" s="10" t="s">
        <v>20</v>
      </c>
      <c r="Q7" s="25"/>
      <c r="R7" s="10"/>
      <c r="S7" s="10"/>
      <c r="T7" s="10"/>
      <c r="U7" s="10"/>
      <c r="V7" s="10"/>
      <c r="W7" s="10"/>
      <c r="X7" s="10"/>
      <c r="Z7" s="15"/>
    </row>
    <row r="8" spans="1:28" x14ac:dyDescent="0.25">
      <c r="A8" s="17">
        <f t="shared" si="0"/>
        <v>7</v>
      </c>
      <c r="B8" s="18">
        <v>42921</v>
      </c>
      <c r="C8" s="18" t="str">
        <f t="shared" si="1"/>
        <v>Wednesday</v>
      </c>
      <c r="D8" s="10" t="str">
        <f t="shared" si="2"/>
        <v>Same</v>
      </c>
      <c r="E8" s="11">
        <v>39.67</v>
      </c>
      <c r="F8" s="11">
        <v>8</v>
      </c>
      <c r="G8" s="12">
        <f t="shared" si="3"/>
        <v>0.20166372573733299</v>
      </c>
      <c r="H8" s="11">
        <v>1.5</v>
      </c>
      <c r="I8" s="13">
        <v>0.8340277777777777</v>
      </c>
      <c r="J8" s="13">
        <v>0.86736111111111114</v>
      </c>
      <c r="K8" s="44">
        <f>Table3[[#This Row],[Delivery Time]]-Table3[[#This Row],[Order Time]]</f>
        <v>3.3333333333333437E-2</v>
      </c>
      <c r="L8" s="43">
        <v>48</v>
      </c>
      <c r="M8" s="10" t="s">
        <v>0</v>
      </c>
      <c r="N8" s="14"/>
      <c r="O8" s="14" t="s">
        <v>39</v>
      </c>
      <c r="P8" s="10" t="s">
        <v>20</v>
      </c>
      <c r="Q8" s="25"/>
      <c r="R8" s="10"/>
      <c r="S8" s="10"/>
      <c r="T8" s="10"/>
      <c r="U8" s="10"/>
      <c r="V8" s="10"/>
      <c r="W8" s="10"/>
      <c r="X8" s="10"/>
      <c r="Z8" s="15"/>
    </row>
    <row r="9" spans="1:28" x14ac:dyDescent="0.25">
      <c r="A9" s="17">
        <f t="shared" si="0"/>
        <v>8</v>
      </c>
      <c r="B9" s="18">
        <v>42921</v>
      </c>
      <c r="C9" s="18" t="str">
        <f t="shared" si="1"/>
        <v>Wednesday</v>
      </c>
      <c r="D9" s="10" t="str">
        <f t="shared" si="2"/>
        <v>Same</v>
      </c>
      <c r="E9" s="11">
        <v>61.86</v>
      </c>
      <c r="F9" s="11">
        <v>10</v>
      </c>
      <c r="G9" s="12">
        <f t="shared" si="3"/>
        <v>0.16165535079211121</v>
      </c>
      <c r="H9" s="11">
        <v>7</v>
      </c>
      <c r="I9" s="13">
        <v>0.84027777777777779</v>
      </c>
      <c r="J9" s="13">
        <v>0.87847222222222221</v>
      </c>
      <c r="K9" s="44">
        <f>Table3[[#This Row],[Delivery Time]]-Table3[[#This Row],[Order Time]]</f>
        <v>3.819444444444442E-2</v>
      </c>
      <c r="L9" s="43">
        <v>54.999999999999993</v>
      </c>
      <c r="M9" s="10" t="s">
        <v>0</v>
      </c>
      <c r="N9" s="14"/>
      <c r="O9" s="14" t="s">
        <v>39</v>
      </c>
      <c r="P9" s="10" t="s">
        <v>20</v>
      </c>
      <c r="Q9" s="25"/>
      <c r="R9" s="10"/>
      <c r="S9" s="10"/>
      <c r="T9" s="10"/>
      <c r="U9" s="10"/>
      <c r="V9" s="10"/>
      <c r="W9" s="10"/>
      <c r="X9" s="10"/>
    </row>
    <row r="10" spans="1:28" x14ac:dyDescent="0.25">
      <c r="A10" s="17">
        <f t="shared" si="0"/>
        <v>9</v>
      </c>
      <c r="B10" s="18">
        <v>42921</v>
      </c>
      <c r="C10" s="18" t="str">
        <f t="shared" si="1"/>
        <v>Wednesday</v>
      </c>
      <c r="D10" s="10" t="str">
        <f t="shared" si="2"/>
        <v>Same</v>
      </c>
      <c r="E10" s="11">
        <v>41.35</v>
      </c>
      <c r="F10" s="11">
        <v>6</v>
      </c>
      <c r="G10" s="12">
        <f t="shared" si="3"/>
        <v>0.14510278113663844</v>
      </c>
      <c r="H10" s="11">
        <v>1.5</v>
      </c>
      <c r="I10" s="13">
        <v>0.84305555555555556</v>
      </c>
      <c r="J10" s="13">
        <v>0.88750000000000007</v>
      </c>
      <c r="K10" s="44">
        <f>Table3[[#This Row],[Delivery Time]]-Table3[[#This Row],[Order Time]]</f>
        <v>4.4444444444444509E-2</v>
      </c>
      <c r="L10" s="43">
        <v>64</v>
      </c>
      <c r="M10" s="10" t="s">
        <v>0</v>
      </c>
      <c r="N10" s="14"/>
      <c r="O10" s="14" t="s">
        <v>39</v>
      </c>
      <c r="P10" s="10" t="s">
        <v>20</v>
      </c>
      <c r="Q10" s="25"/>
      <c r="R10" s="10"/>
      <c r="S10" s="10"/>
      <c r="T10" s="10"/>
      <c r="U10" s="10"/>
      <c r="V10" s="10"/>
      <c r="W10" s="10"/>
      <c r="X10" s="10"/>
    </row>
    <row r="11" spans="1:28" x14ac:dyDescent="0.25">
      <c r="A11" s="17">
        <f t="shared" si="0"/>
        <v>10</v>
      </c>
      <c r="B11" s="18">
        <v>42923</v>
      </c>
      <c r="C11" s="18" t="str">
        <f t="shared" si="1"/>
        <v>Friday</v>
      </c>
      <c r="D11" s="10" t="str">
        <f t="shared" si="2"/>
        <v>Different</v>
      </c>
      <c r="E11" s="11">
        <v>30.9</v>
      </c>
      <c r="F11" s="11">
        <v>7</v>
      </c>
      <c r="G11" s="12">
        <f t="shared" si="3"/>
        <v>0.22653721682847897</v>
      </c>
      <c r="H11" s="11">
        <v>5</v>
      </c>
      <c r="I11" s="13">
        <v>0.75</v>
      </c>
      <c r="J11" s="13">
        <v>0.75</v>
      </c>
      <c r="K11" s="44">
        <f>Table3[[#This Row],[Delivery Time]]-Table3[[#This Row],[Order Time]]</f>
        <v>0</v>
      </c>
      <c r="L11" s="43">
        <v>0</v>
      </c>
      <c r="M11" s="10" t="s">
        <v>11</v>
      </c>
      <c r="N11" s="14"/>
      <c r="O11" s="14" t="s">
        <v>39</v>
      </c>
      <c r="P11" s="10" t="s">
        <v>16</v>
      </c>
      <c r="Q11" s="25"/>
      <c r="R11" s="10"/>
      <c r="S11" s="10"/>
      <c r="T11" s="10"/>
      <c r="U11" s="10"/>
      <c r="V11" s="10"/>
      <c r="W11" s="10"/>
      <c r="X11" s="10"/>
    </row>
    <row r="12" spans="1:28" x14ac:dyDescent="0.25">
      <c r="A12" s="17">
        <f t="shared" si="0"/>
        <v>11</v>
      </c>
      <c r="B12" s="18">
        <v>42923</v>
      </c>
      <c r="C12" s="18" t="str">
        <f t="shared" si="1"/>
        <v>Friday</v>
      </c>
      <c r="D12" s="10" t="str">
        <f t="shared" si="2"/>
        <v>Same</v>
      </c>
      <c r="E12" s="11">
        <v>33.020000000000003</v>
      </c>
      <c r="F12" s="11">
        <v>6.98</v>
      </c>
      <c r="G12" s="12">
        <f t="shared" si="3"/>
        <v>0.2113870381586917</v>
      </c>
      <c r="H12" s="11">
        <v>1.5</v>
      </c>
      <c r="I12" s="13">
        <v>0.74861111111111101</v>
      </c>
      <c r="J12" s="13">
        <v>0.77500000000000002</v>
      </c>
      <c r="K12" s="44">
        <f>Table3[[#This Row],[Delivery Time]]-Table3[[#This Row],[Order Time]]</f>
        <v>2.6388888888889017E-2</v>
      </c>
      <c r="L12" s="43">
        <v>38</v>
      </c>
      <c r="M12" s="10" t="s">
        <v>12</v>
      </c>
      <c r="N12" s="14"/>
      <c r="O12" s="14" t="s">
        <v>39</v>
      </c>
      <c r="P12" s="10" t="s">
        <v>20</v>
      </c>
      <c r="Q12" s="25"/>
      <c r="R12" s="10"/>
      <c r="S12" s="10"/>
      <c r="T12" s="10"/>
      <c r="U12" s="10"/>
      <c r="V12" s="10"/>
      <c r="W12" s="10"/>
      <c r="X12" s="10"/>
    </row>
    <row r="13" spans="1:28" x14ac:dyDescent="0.25">
      <c r="A13" s="17">
        <f t="shared" si="0"/>
        <v>12</v>
      </c>
      <c r="B13" s="18">
        <v>42923</v>
      </c>
      <c r="C13" s="18" t="str">
        <f t="shared" si="1"/>
        <v>Friday</v>
      </c>
      <c r="D13" s="10" t="str">
        <f t="shared" si="2"/>
        <v>Same</v>
      </c>
      <c r="E13" s="11">
        <v>38.32</v>
      </c>
      <c r="F13" s="11">
        <v>5</v>
      </c>
      <c r="G13" s="12">
        <f t="shared" si="3"/>
        <v>0.13048016701461379</v>
      </c>
      <c r="H13" s="11">
        <v>1.5</v>
      </c>
      <c r="I13" s="13">
        <v>0.7597222222222223</v>
      </c>
      <c r="J13" s="13">
        <v>0.78472222222222221</v>
      </c>
      <c r="K13" s="44">
        <f>Table3[[#This Row],[Delivery Time]]-Table3[[#This Row],[Order Time]]</f>
        <v>2.4999999999999911E-2</v>
      </c>
      <c r="L13" s="43">
        <v>36</v>
      </c>
      <c r="M13" s="10" t="s">
        <v>0</v>
      </c>
      <c r="N13" s="14" t="s">
        <v>25</v>
      </c>
      <c r="O13" s="14" t="s">
        <v>39</v>
      </c>
      <c r="P13" s="10" t="s">
        <v>20</v>
      </c>
      <c r="Q13" s="25"/>
      <c r="R13" s="10"/>
      <c r="S13" s="10"/>
      <c r="T13" s="10"/>
      <c r="U13" s="10"/>
      <c r="V13" s="10"/>
      <c r="W13" s="10"/>
      <c r="X13" s="10"/>
    </row>
    <row r="14" spans="1:28" x14ac:dyDescent="0.25">
      <c r="A14" s="17">
        <f t="shared" si="0"/>
        <v>13</v>
      </c>
      <c r="B14" s="18">
        <v>42923</v>
      </c>
      <c r="C14" s="18" t="str">
        <f t="shared" si="1"/>
        <v>Friday</v>
      </c>
      <c r="D14" s="10" t="str">
        <f t="shared" si="2"/>
        <v>Same</v>
      </c>
      <c r="E14" s="11">
        <v>24.09</v>
      </c>
      <c r="F14" s="11">
        <v>5.91</v>
      </c>
      <c r="G14" s="12">
        <f t="shared" si="3"/>
        <v>0.24533001245330013</v>
      </c>
      <c r="H14" s="11">
        <v>1.5</v>
      </c>
      <c r="I14" s="13">
        <v>0.79583333333333339</v>
      </c>
      <c r="J14" s="13">
        <v>0.81805555555555554</v>
      </c>
      <c r="K14" s="44">
        <f>Table3[[#This Row],[Delivery Time]]-Table3[[#This Row],[Order Time]]</f>
        <v>2.2222222222222143E-2</v>
      </c>
      <c r="L14" s="43">
        <v>32</v>
      </c>
      <c r="M14" s="10" t="s">
        <v>0</v>
      </c>
      <c r="N14" s="14" t="s">
        <v>25</v>
      </c>
      <c r="O14" s="14" t="s">
        <v>39</v>
      </c>
      <c r="P14" s="10" t="s">
        <v>20</v>
      </c>
      <c r="Q14" s="10"/>
      <c r="R14" s="10"/>
      <c r="S14" s="10"/>
      <c r="T14" s="10"/>
      <c r="U14" s="10"/>
      <c r="V14" s="10"/>
      <c r="W14" s="10"/>
      <c r="X14" s="10"/>
    </row>
    <row r="15" spans="1:28" x14ac:dyDescent="0.25">
      <c r="A15" s="17">
        <f t="shared" si="0"/>
        <v>14</v>
      </c>
      <c r="B15" s="18">
        <v>42923</v>
      </c>
      <c r="C15" s="18" t="str">
        <f t="shared" si="1"/>
        <v>Friday</v>
      </c>
      <c r="D15" s="10" t="str">
        <f t="shared" si="2"/>
        <v>Same</v>
      </c>
      <c r="E15" s="11">
        <v>33.770000000000003</v>
      </c>
      <c r="F15" s="11">
        <v>11</v>
      </c>
      <c r="G15" s="12">
        <f t="shared" si="3"/>
        <v>0.32573289902280128</v>
      </c>
      <c r="H15" s="11">
        <v>5</v>
      </c>
      <c r="I15" s="13">
        <v>0.79236111111111107</v>
      </c>
      <c r="J15" s="13">
        <v>0.82986111111111116</v>
      </c>
      <c r="K15" s="44">
        <f>Table3[[#This Row],[Delivery Time]]-Table3[[#This Row],[Order Time]]</f>
        <v>3.7500000000000089E-2</v>
      </c>
      <c r="L15" s="43">
        <v>53.999999999999993</v>
      </c>
      <c r="M15" s="10" t="s">
        <v>0</v>
      </c>
      <c r="N15" s="14"/>
      <c r="O15" s="14" t="s">
        <v>39</v>
      </c>
      <c r="P15" s="10" t="s">
        <v>20</v>
      </c>
      <c r="Q15" s="10"/>
      <c r="R15" s="10"/>
      <c r="S15" s="10"/>
      <c r="T15" s="10"/>
      <c r="U15" s="10"/>
      <c r="V15" s="10"/>
      <c r="W15" s="10"/>
      <c r="X15" s="10"/>
    </row>
    <row r="16" spans="1:28" x14ac:dyDescent="0.25">
      <c r="A16" s="17">
        <f t="shared" si="0"/>
        <v>15</v>
      </c>
      <c r="B16" s="18">
        <v>42923</v>
      </c>
      <c r="C16" s="18" t="str">
        <f t="shared" si="1"/>
        <v>Friday</v>
      </c>
      <c r="D16" s="10" t="str">
        <f t="shared" si="2"/>
        <v>Same</v>
      </c>
      <c r="E16" s="11">
        <v>41.89</v>
      </c>
      <c r="F16" s="11">
        <v>5</v>
      </c>
      <c r="G16" s="12">
        <f t="shared" si="3"/>
        <v>0.11936022917164001</v>
      </c>
      <c r="H16" s="11">
        <v>5</v>
      </c>
      <c r="I16" s="13">
        <v>0.80208333333333337</v>
      </c>
      <c r="J16" s="13">
        <v>0.83611111111111114</v>
      </c>
      <c r="K16" s="44">
        <f>Table3[[#This Row],[Delivery Time]]-Table3[[#This Row],[Order Time]]</f>
        <v>3.4027777777777768E-2</v>
      </c>
      <c r="L16" s="43">
        <v>49</v>
      </c>
      <c r="M16" s="10" t="s">
        <v>0</v>
      </c>
      <c r="N16" s="14"/>
      <c r="O16" s="14" t="s">
        <v>39</v>
      </c>
      <c r="P16" s="10" t="s">
        <v>20</v>
      </c>
      <c r="Q16" s="10"/>
      <c r="R16" s="10"/>
      <c r="S16" s="10"/>
      <c r="T16" s="10"/>
      <c r="U16" s="10"/>
      <c r="V16" s="10"/>
      <c r="W16" s="10"/>
      <c r="X16" s="10"/>
    </row>
    <row r="17" spans="1:24" x14ac:dyDescent="0.25">
      <c r="A17" s="17">
        <f t="shared" si="0"/>
        <v>16</v>
      </c>
      <c r="B17" s="18">
        <v>42924</v>
      </c>
      <c r="C17" s="18" t="str">
        <f t="shared" si="1"/>
        <v>Saturday</v>
      </c>
      <c r="D17" s="10" t="str">
        <f t="shared" si="2"/>
        <v>Different</v>
      </c>
      <c r="E17" s="11">
        <v>19.489999999999998</v>
      </c>
      <c r="F17" s="11">
        <v>3</v>
      </c>
      <c r="G17" s="12">
        <f t="shared" si="3"/>
        <v>0.15392508978963573</v>
      </c>
      <c r="H17" s="11">
        <v>1.5</v>
      </c>
      <c r="I17" s="13">
        <v>0.6972222222222223</v>
      </c>
      <c r="J17" s="13">
        <v>0.71458333333333324</v>
      </c>
      <c r="K17" s="44">
        <f>Table3[[#This Row],[Delivery Time]]-Table3[[#This Row],[Order Time]]</f>
        <v>1.7361111111110938E-2</v>
      </c>
      <c r="L17" s="43">
        <v>25</v>
      </c>
      <c r="M17" s="10" t="s">
        <v>0</v>
      </c>
      <c r="N17" s="14"/>
      <c r="O17" s="14" t="s">
        <v>39</v>
      </c>
      <c r="P17" s="10" t="s">
        <v>20</v>
      </c>
      <c r="Q17" s="10"/>
      <c r="R17" s="10"/>
      <c r="S17" s="10"/>
      <c r="T17" s="10"/>
      <c r="U17" s="10"/>
      <c r="V17" s="10"/>
      <c r="W17" s="10"/>
      <c r="X17" s="10"/>
    </row>
    <row r="18" spans="1:24" x14ac:dyDescent="0.25">
      <c r="A18" s="17">
        <f t="shared" si="0"/>
        <v>17</v>
      </c>
      <c r="B18" s="18">
        <v>42924</v>
      </c>
      <c r="C18" s="18" t="str">
        <f t="shared" si="1"/>
        <v>Saturday</v>
      </c>
      <c r="D18" s="10" t="str">
        <f t="shared" si="2"/>
        <v>Same</v>
      </c>
      <c r="E18" s="11">
        <v>25.93</v>
      </c>
      <c r="F18" s="11">
        <v>4.07</v>
      </c>
      <c r="G18" s="12">
        <f t="shared" si="3"/>
        <v>0.15696104897801774</v>
      </c>
      <c r="H18" s="11">
        <v>1.5</v>
      </c>
      <c r="I18" s="13">
        <v>0.73402777777777783</v>
      </c>
      <c r="J18" s="13">
        <v>0.74444444444444446</v>
      </c>
      <c r="K18" s="44">
        <f>Table3[[#This Row],[Delivery Time]]-Table3[[#This Row],[Order Time]]</f>
        <v>1.041666666666663E-2</v>
      </c>
      <c r="L18" s="43">
        <v>15</v>
      </c>
      <c r="M18" s="10" t="s">
        <v>11</v>
      </c>
      <c r="N18" s="14"/>
      <c r="O18" s="14" t="s">
        <v>39</v>
      </c>
      <c r="P18" s="10" t="s">
        <v>20</v>
      </c>
      <c r="Q18" s="10"/>
      <c r="R18" s="10"/>
      <c r="S18" s="10"/>
      <c r="T18" s="10"/>
      <c r="U18" s="10"/>
      <c r="V18" s="10"/>
      <c r="W18" s="10"/>
      <c r="X18" s="10"/>
    </row>
    <row r="19" spans="1:24" x14ac:dyDescent="0.25">
      <c r="A19" s="17">
        <f t="shared" si="0"/>
        <v>18</v>
      </c>
      <c r="B19" s="18">
        <v>42924</v>
      </c>
      <c r="C19" s="18" t="str">
        <f t="shared" si="1"/>
        <v>Saturday</v>
      </c>
      <c r="D19" s="10" t="str">
        <f t="shared" si="2"/>
        <v>Same</v>
      </c>
      <c r="E19" s="11">
        <v>34.590000000000003</v>
      </c>
      <c r="F19" s="11">
        <v>4.41</v>
      </c>
      <c r="G19" s="12">
        <f t="shared" si="3"/>
        <v>0.12749349522983519</v>
      </c>
      <c r="H19" s="11">
        <v>1.5</v>
      </c>
      <c r="I19" s="13">
        <v>0.7631944444444444</v>
      </c>
      <c r="J19" s="13">
        <v>0.77986111111111101</v>
      </c>
      <c r="K19" s="44">
        <f>Table3[[#This Row],[Delivery Time]]-Table3[[#This Row],[Order Time]]</f>
        <v>1.6666666666666607E-2</v>
      </c>
      <c r="L19" s="43">
        <v>24</v>
      </c>
      <c r="M19" s="10" t="s">
        <v>0</v>
      </c>
      <c r="N19" s="14"/>
      <c r="O19" s="14" t="s">
        <v>39</v>
      </c>
      <c r="P19" s="10" t="s">
        <v>20</v>
      </c>
      <c r="Q19" s="10"/>
      <c r="R19" s="10"/>
      <c r="S19" s="10"/>
      <c r="T19" s="10"/>
      <c r="U19" s="10"/>
      <c r="V19" s="10"/>
      <c r="W19" s="10"/>
      <c r="X19" s="10"/>
    </row>
    <row r="20" spans="1:24" x14ac:dyDescent="0.25">
      <c r="A20" s="17">
        <f t="shared" si="0"/>
        <v>19</v>
      </c>
      <c r="B20" s="18">
        <v>42924</v>
      </c>
      <c r="C20" s="18" t="str">
        <f t="shared" si="1"/>
        <v>Saturday</v>
      </c>
      <c r="D20" s="10" t="str">
        <f t="shared" si="2"/>
        <v>Same</v>
      </c>
      <c r="E20" s="11">
        <v>29.77</v>
      </c>
      <c r="F20" s="11">
        <v>5</v>
      </c>
      <c r="G20" s="12">
        <f t="shared" si="3"/>
        <v>0.16795431642593214</v>
      </c>
      <c r="H20" s="11">
        <v>1.5</v>
      </c>
      <c r="I20" s="13">
        <v>0.78402777777777777</v>
      </c>
      <c r="J20" s="13">
        <v>0.79999999999999993</v>
      </c>
      <c r="K20" s="44">
        <f>Table3[[#This Row],[Delivery Time]]-Table3[[#This Row],[Order Time]]</f>
        <v>1.5972222222222165E-2</v>
      </c>
      <c r="L20" s="43">
        <v>23</v>
      </c>
      <c r="M20" s="10" t="s">
        <v>0</v>
      </c>
      <c r="N20" s="14"/>
      <c r="O20" s="14" t="s">
        <v>41</v>
      </c>
      <c r="P20" s="10" t="s">
        <v>20</v>
      </c>
      <c r="Q20" s="10"/>
      <c r="R20" s="10"/>
      <c r="S20" s="10"/>
      <c r="T20" s="10"/>
      <c r="U20" s="10"/>
      <c r="V20" s="10"/>
      <c r="W20" s="10"/>
      <c r="X20" s="10"/>
    </row>
    <row r="21" spans="1:24" x14ac:dyDescent="0.25">
      <c r="A21" s="17">
        <f t="shared" si="0"/>
        <v>20</v>
      </c>
      <c r="B21" s="18">
        <v>42924</v>
      </c>
      <c r="C21" s="18" t="str">
        <f t="shared" si="1"/>
        <v>Saturday</v>
      </c>
      <c r="D21" s="10" t="str">
        <f t="shared" si="2"/>
        <v>Same</v>
      </c>
      <c r="E21" s="11">
        <v>27.33</v>
      </c>
      <c r="F21" s="11">
        <v>5.67</v>
      </c>
      <c r="G21" s="12">
        <f t="shared" si="3"/>
        <v>0.20746432491767289</v>
      </c>
      <c r="H21" s="11">
        <v>1.5</v>
      </c>
      <c r="I21" s="13">
        <v>0.8222222222222223</v>
      </c>
      <c r="J21" s="13">
        <v>0.83750000000000002</v>
      </c>
      <c r="K21" s="44">
        <f>Table3[[#This Row],[Delivery Time]]-Table3[[#This Row],[Order Time]]</f>
        <v>1.5277777777777724E-2</v>
      </c>
      <c r="L21" s="43">
        <v>22</v>
      </c>
      <c r="M21" s="10" t="s">
        <v>0</v>
      </c>
      <c r="N21" s="14"/>
      <c r="O21" s="14" t="s">
        <v>39</v>
      </c>
      <c r="P21" s="10" t="s">
        <v>20</v>
      </c>
      <c r="Q21" s="10"/>
      <c r="R21" s="10"/>
      <c r="S21" s="10"/>
      <c r="T21" s="10"/>
      <c r="U21" s="10"/>
      <c r="V21" s="10"/>
      <c r="W21" s="10"/>
      <c r="X21" s="10"/>
    </row>
    <row r="22" spans="1:24" x14ac:dyDescent="0.25">
      <c r="A22" s="17">
        <f t="shared" si="0"/>
        <v>21</v>
      </c>
      <c r="B22" s="18">
        <v>42925</v>
      </c>
      <c r="C22" s="18" t="str">
        <f t="shared" si="1"/>
        <v>Sunday</v>
      </c>
      <c r="D22" s="10" t="str">
        <f t="shared" si="2"/>
        <v>Different</v>
      </c>
      <c r="E22" s="11">
        <v>25.66</v>
      </c>
      <c r="F22" s="11">
        <v>5</v>
      </c>
      <c r="G22" s="12">
        <f t="shared" si="3"/>
        <v>0.19485580670303976</v>
      </c>
      <c r="H22" s="11">
        <v>1.5</v>
      </c>
      <c r="I22" s="13">
        <v>0.71666666666666667</v>
      </c>
      <c r="J22" s="13">
        <v>0.7402777777777777</v>
      </c>
      <c r="K22" s="44">
        <f>Table3[[#This Row],[Delivery Time]]-Table3[[#This Row],[Order Time]]</f>
        <v>2.3611111111111027E-2</v>
      </c>
      <c r="L22" s="43">
        <v>34</v>
      </c>
      <c r="M22" s="10" t="s">
        <v>0</v>
      </c>
      <c r="N22" s="14"/>
      <c r="O22" s="14" t="s">
        <v>39</v>
      </c>
      <c r="P22" s="10" t="s">
        <v>20</v>
      </c>
      <c r="Q22" s="10"/>
      <c r="R22" s="10"/>
      <c r="S22" s="10"/>
      <c r="T22" s="10"/>
      <c r="U22" s="10"/>
      <c r="V22" s="10"/>
      <c r="W22" s="10"/>
      <c r="X22" s="10"/>
    </row>
    <row r="23" spans="1:24" x14ac:dyDescent="0.25">
      <c r="A23" s="17">
        <f t="shared" si="0"/>
        <v>22</v>
      </c>
      <c r="B23" s="18">
        <v>42925</v>
      </c>
      <c r="C23" s="18" t="str">
        <f t="shared" si="1"/>
        <v>Sunday</v>
      </c>
      <c r="D23" s="10" t="str">
        <f t="shared" si="2"/>
        <v>Same</v>
      </c>
      <c r="E23" s="11">
        <v>36.159999999999997</v>
      </c>
      <c r="F23" s="11">
        <v>3.84</v>
      </c>
      <c r="G23" s="12">
        <f t="shared" si="3"/>
        <v>0.10619469026548674</v>
      </c>
      <c r="H23" s="11">
        <v>1.5</v>
      </c>
      <c r="I23" s="13">
        <v>0.72361111111111109</v>
      </c>
      <c r="J23" s="13">
        <v>0.75138888888888899</v>
      </c>
      <c r="K23" s="44">
        <f>Table3[[#This Row],[Delivery Time]]-Table3[[#This Row],[Order Time]]</f>
        <v>2.7777777777777901E-2</v>
      </c>
      <c r="L23" s="43">
        <v>40</v>
      </c>
      <c r="M23" s="10" t="s">
        <v>0</v>
      </c>
      <c r="N23" s="14"/>
      <c r="O23" s="14" t="s">
        <v>39</v>
      </c>
      <c r="P23" s="10" t="s">
        <v>20</v>
      </c>
      <c r="Q23" s="10"/>
      <c r="R23" s="10"/>
      <c r="S23" s="10"/>
      <c r="T23" s="10"/>
      <c r="U23" s="10"/>
      <c r="V23" s="10"/>
      <c r="W23" s="10"/>
      <c r="X23" s="10"/>
    </row>
    <row r="24" spans="1:24" x14ac:dyDescent="0.25">
      <c r="A24" s="17">
        <f t="shared" si="0"/>
        <v>23</v>
      </c>
      <c r="B24" s="18">
        <v>42925</v>
      </c>
      <c r="C24" s="18" t="str">
        <f t="shared" si="1"/>
        <v>Sunday</v>
      </c>
      <c r="D24" s="10" t="str">
        <f t="shared" si="2"/>
        <v>Same</v>
      </c>
      <c r="E24" s="11">
        <v>17.54</v>
      </c>
      <c r="F24" s="11">
        <v>5</v>
      </c>
      <c r="G24" s="12">
        <f t="shared" si="3"/>
        <v>0.28506271379703535</v>
      </c>
      <c r="H24" s="11">
        <v>1.5</v>
      </c>
      <c r="I24" s="13">
        <v>0.72430555555555554</v>
      </c>
      <c r="J24" s="13">
        <v>0.75902777777777775</v>
      </c>
      <c r="K24" s="44">
        <f>Table3[[#This Row],[Delivery Time]]-Table3[[#This Row],[Order Time]]</f>
        <v>3.472222222222221E-2</v>
      </c>
      <c r="L24" s="43">
        <v>50</v>
      </c>
      <c r="M24" s="10" t="s">
        <v>0</v>
      </c>
      <c r="N24" s="14"/>
      <c r="O24" s="14" t="s">
        <v>41</v>
      </c>
      <c r="P24" s="10" t="s">
        <v>20</v>
      </c>
      <c r="Q24" s="10"/>
      <c r="R24" s="10"/>
      <c r="S24" s="10"/>
      <c r="T24" s="10"/>
      <c r="U24" s="10"/>
      <c r="V24" s="10"/>
      <c r="W24" s="10"/>
      <c r="X24" s="10"/>
    </row>
    <row r="25" spans="1:24" x14ac:dyDescent="0.25">
      <c r="A25" s="17">
        <f t="shared" si="0"/>
        <v>24</v>
      </c>
      <c r="B25" s="18">
        <v>42925</v>
      </c>
      <c r="C25" s="18" t="str">
        <f t="shared" si="1"/>
        <v>Sunday</v>
      </c>
      <c r="D25" s="10" t="str">
        <f t="shared" si="2"/>
        <v>Same</v>
      </c>
      <c r="E25" s="11">
        <v>35.4</v>
      </c>
      <c r="F25" s="11">
        <v>5</v>
      </c>
      <c r="G25" s="12">
        <f t="shared" si="3"/>
        <v>0.14124293785310735</v>
      </c>
      <c r="H25" s="11">
        <v>1.5</v>
      </c>
      <c r="I25" s="13">
        <v>0.77361111111111114</v>
      </c>
      <c r="J25" s="13">
        <v>0.79305555555555562</v>
      </c>
      <c r="K25" s="44">
        <f>Table3[[#This Row],[Delivery Time]]-Table3[[#This Row],[Order Time]]</f>
        <v>1.9444444444444486E-2</v>
      </c>
      <c r="L25" s="43">
        <v>28</v>
      </c>
      <c r="M25" s="10" t="s">
        <v>0</v>
      </c>
      <c r="N25" s="14"/>
      <c r="O25" s="14" t="s">
        <v>39</v>
      </c>
      <c r="P25" s="10" t="s">
        <v>20</v>
      </c>
      <c r="Q25" s="10"/>
      <c r="R25" s="10"/>
      <c r="S25" s="10"/>
      <c r="T25" s="10"/>
      <c r="U25" s="10"/>
      <c r="V25" s="10"/>
      <c r="W25" s="10"/>
      <c r="X25" s="10"/>
    </row>
    <row r="26" spans="1:24" x14ac:dyDescent="0.25">
      <c r="A26" s="17">
        <f t="shared" si="0"/>
        <v>25</v>
      </c>
      <c r="B26" s="18">
        <v>42925</v>
      </c>
      <c r="C26" s="18" t="str">
        <f t="shared" si="1"/>
        <v>Sunday</v>
      </c>
      <c r="D26" s="10" t="str">
        <f t="shared" si="2"/>
        <v>Same</v>
      </c>
      <c r="E26" s="11">
        <v>54.61</v>
      </c>
      <c r="F26" s="11">
        <v>6</v>
      </c>
      <c r="G26" s="12">
        <f t="shared" si="3"/>
        <v>0.10986998718183483</v>
      </c>
      <c r="H26" s="11">
        <v>1.5</v>
      </c>
      <c r="I26" s="13">
        <v>0.78611111111111109</v>
      </c>
      <c r="J26" s="13">
        <v>0.81527777777777777</v>
      </c>
      <c r="K26" s="44">
        <f>Table3[[#This Row],[Delivery Time]]-Table3[[#This Row],[Order Time]]</f>
        <v>2.9166666666666674E-2</v>
      </c>
      <c r="L26" s="43">
        <v>42</v>
      </c>
      <c r="M26" s="10" t="s">
        <v>0</v>
      </c>
      <c r="N26" s="14"/>
      <c r="O26" s="14" t="s">
        <v>39</v>
      </c>
      <c r="P26" s="10" t="s">
        <v>20</v>
      </c>
      <c r="Q26" s="10"/>
      <c r="R26" s="10"/>
      <c r="S26" s="10"/>
      <c r="T26" s="10"/>
      <c r="U26" s="10"/>
      <c r="V26" s="10"/>
      <c r="W26" s="10"/>
      <c r="X26" s="10"/>
    </row>
    <row r="27" spans="1:24" x14ac:dyDescent="0.25">
      <c r="A27" s="17">
        <f t="shared" si="0"/>
        <v>26</v>
      </c>
      <c r="B27" s="18">
        <v>42925</v>
      </c>
      <c r="C27" s="18" t="str">
        <f t="shared" si="1"/>
        <v>Sunday</v>
      </c>
      <c r="D27" s="10" t="str">
        <f t="shared" si="2"/>
        <v>Same</v>
      </c>
      <c r="E27" s="11">
        <v>33.24</v>
      </c>
      <c r="F27" s="11">
        <v>4</v>
      </c>
      <c r="G27" s="12">
        <f t="shared" si="3"/>
        <v>0.12033694344163658</v>
      </c>
      <c r="H27" s="11">
        <v>1.5</v>
      </c>
      <c r="I27" s="13">
        <v>0.78680555555555554</v>
      </c>
      <c r="J27" s="13">
        <v>0.82291666666666663</v>
      </c>
      <c r="K27" s="44">
        <f>Table3[[#This Row],[Delivery Time]]-Table3[[#This Row],[Order Time]]</f>
        <v>3.6111111111111094E-2</v>
      </c>
      <c r="L27" s="43">
        <v>52</v>
      </c>
      <c r="M27" s="10" t="s">
        <v>0</v>
      </c>
      <c r="N27" s="14"/>
      <c r="O27" s="14" t="s">
        <v>39</v>
      </c>
      <c r="P27" s="10" t="s">
        <v>20</v>
      </c>
      <c r="Q27" s="10"/>
      <c r="R27" s="10"/>
      <c r="S27" s="10"/>
      <c r="T27" s="10"/>
      <c r="U27" s="10"/>
      <c r="V27" s="10"/>
      <c r="W27" s="10"/>
      <c r="X27" s="10"/>
    </row>
    <row r="28" spans="1:24" x14ac:dyDescent="0.25">
      <c r="A28" s="17">
        <f t="shared" si="0"/>
        <v>27</v>
      </c>
      <c r="B28" s="18">
        <v>42925</v>
      </c>
      <c r="C28" s="18" t="str">
        <f t="shared" si="1"/>
        <v>Sunday</v>
      </c>
      <c r="D28" s="10" t="str">
        <f t="shared" si="2"/>
        <v>Same</v>
      </c>
      <c r="E28" s="11">
        <v>56.45</v>
      </c>
      <c r="F28" s="11">
        <v>13</v>
      </c>
      <c r="G28" s="12">
        <f t="shared" si="3"/>
        <v>0.23029229406554472</v>
      </c>
      <c r="H28" s="11">
        <v>1.5</v>
      </c>
      <c r="I28" s="13">
        <v>0.79375000000000007</v>
      </c>
      <c r="J28" s="13">
        <v>0.83124999999999993</v>
      </c>
      <c r="K28" s="44">
        <f>Table3[[#This Row],[Delivery Time]]-Table3[[#This Row],[Order Time]]</f>
        <v>3.7499999999999867E-2</v>
      </c>
      <c r="L28" s="43">
        <v>53.999999999999993</v>
      </c>
      <c r="M28" s="10" t="s">
        <v>0</v>
      </c>
      <c r="N28" s="14"/>
      <c r="O28" s="14" t="s">
        <v>39</v>
      </c>
      <c r="P28" s="10" t="s">
        <v>20</v>
      </c>
      <c r="Q28" s="10"/>
      <c r="R28" s="10"/>
      <c r="S28" s="10"/>
      <c r="T28" s="10"/>
      <c r="U28" s="10"/>
      <c r="V28" s="10"/>
      <c r="W28" s="10"/>
      <c r="X28" s="10"/>
    </row>
    <row r="29" spans="1:24" x14ac:dyDescent="0.25">
      <c r="A29" s="17">
        <f t="shared" si="0"/>
        <v>28</v>
      </c>
      <c r="B29" s="18">
        <v>42925</v>
      </c>
      <c r="C29" s="18" t="str">
        <f t="shared" si="1"/>
        <v>Sunday</v>
      </c>
      <c r="D29" s="10" t="str">
        <f t="shared" si="2"/>
        <v>Same</v>
      </c>
      <c r="E29" s="11">
        <v>47.41</v>
      </c>
      <c r="F29" s="11">
        <v>3.59</v>
      </c>
      <c r="G29" s="12">
        <f t="shared" si="3"/>
        <v>7.5722421430078041E-2</v>
      </c>
      <c r="H29" s="11">
        <v>7</v>
      </c>
      <c r="I29" s="13">
        <v>0.82638888888888884</v>
      </c>
      <c r="J29" s="13">
        <v>0.85486111111111107</v>
      </c>
      <c r="K29" s="44">
        <f>Table3[[#This Row],[Delivery Time]]-Table3[[#This Row],[Order Time]]</f>
        <v>2.8472222222222232E-2</v>
      </c>
      <c r="L29" s="43">
        <v>41</v>
      </c>
      <c r="M29" s="10" t="s">
        <v>11</v>
      </c>
      <c r="N29" s="14"/>
      <c r="O29" s="14" t="s">
        <v>39</v>
      </c>
      <c r="P29" s="10" t="s">
        <v>20</v>
      </c>
      <c r="Q29" s="10"/>
      <c r="R29" s="10"/>
      <c r="S29" s="10"/>
      <c r="T29" s="10"/>
      <c r="U29" s="10"/>
      <c r="V29" s="10"/>
      <c r="W29" s="10"/>
      <c r="X29" s="10"/>
    </row>
    <row r="30" spans="1:24" x14ac:dyDescent="0.25">
      <c r="A30" s="17">
        <f t="shared" si="0"/>
        <v>29</v>
      </c>
      <c r="B30" s="18">
        <v>42925</v>
      </c>
      <c r="C30" s="18" t="str">
        <f t="shared" si="1"/>
        <v>Sunday</v>
      </c>
      <c r="D30" s="10" t="str">
        <f t="shared" si="2"/>
        <v>Same</v>
      </c>
      <c r="E30" s="11">
        <v>55.1</v>
      </c>
      <c r="F30" s="11">
        <v>10</v>
      </c>
      <c r="G30" s="12">
        <f t="shared" si="3"/>
        <v>0.18148820326678766</v>
      </c>
      <c r="H30" s="11">
        <v>1.5</v>
      </c>
      <c r="I30" s="13">
        <v>0.84444444444444444</v>
      </c>
      <c r="J30" s="13">
        <v>0.87777777777777777</v>
      </c>
      <c r="K30" s="44">
        <f>Table3[[#This Row],[Delivery Time]]-Table3[[#This Row],[Order Time]]</f>
        <v>3.3333333333333326E-2</v>
      </c>
      <c r="L30" s="43">
        <v>48</v>
      </c>
      <c r="M30" s="10" t="s">
        <v>0</v>
      </c>
      <c r="N30" s="14"/>
      <c r="O30" s="14" t="s">
        <v>40</v>
      </c>
      <c r="P30" s="10" t="s">
        <v>20</v>
      </c>
      <c r="Q30" s="10"/>
      <c r="R30" s="10"/>
      <c r="S30" s="10"/>
      <c r="T30" s="10"/>
      <c r="U30" s="10"/>
      <c r="V30" s="10"/>
      <c r="W30" s="10"/>
      <c r="X30" s="10"/>
    </row>
    <row r="31" spans="1:24" x14ac:dyDescent="0.25">
      <c r="A31" s="17">
        <f t="shared" si="0"/>
        <v>30</v>
      </c>
      <c r="B31" s="18">
        <v>42925</v>
      </c>
      <c r="C31" s="18" t="str">
        <f t="shared" si="1"/>
        <v>Sunday</v>
      </c>
      <c r="D31" s="10" t="str">
        <f t="shared" si="2"/>
        <v>Same</v>
      </c>
      <c r="E31" s="11">
        <v>56.51</v>
      </c>
      <c r="F31" s="11">
        <v>4</v>
      </c>
      <c r="G31" s="12">
        <f t="shared" si="3"/>
        <v>7.0783932047425238E-2</v>
      </c>
      <c r="H31" s="11">
        <v>1.5</v>
      </c>
      <c r="I31" s="13">
        <v>0.84930555555555554</v>
      </c>
      <c r="J31" s="13">
        <v>0.90763888888888899</v>
      </c>
      <c r="K31" s="44">
        <f>Table3[[#This Row],[Delivery Time]]-Table3[[#This Row],[Order Time]]</f>
        <v>5.8333333333333459E-2</v>
      </c>
      <c r="L31" s="43">
        <v>84</v>
      </c>
      <c r="M31" s="10" t="s">
        <v>0</v>
      </c>
      <c r="N31" s="14"/>
      <c r="O31" s="14" t="s">
        <v>39</v>
      </c>
      <c r="P31" s="10" t="s">
        <v>20</v>
      </c>
      <c r="Q31" s="10"/>
      <c r="R31" s="10"/>
      <c r="S31" s="10"/>
      <c r="T31" s="10"/>
      <c r="U31" s="10"/>
      <c r="V31" s="10"/>
      <c r="W31" s="10"/>
      <c r="X31" s="10"/>
    </row>
    <row r="32" spans="1:24" x14ac:dyDescent="0.25">
      <c r="A32" s="17">
        <f t="shared" si="0"/>
        <v>31</v>
      </c>
      <c r="B32" s="18">
        <v>42926</v>
      </c>
      <c r="C32" s="18" t="str">
        <f t="shared" si="1"/>
        <v>Monday</v>
      </c>
      <c r="D32" s="10" t="str">
        <f t="shared" si="2"/>
        <v>Different</v>
      </c>
      <c r="E32" s="11">
        <v>41.3</v>
      </c>
      <c r="F32" s="11">
        <v>6</v>
      </c>
      <c r="G32" s="12">
        <f t="shared" si="3"/>
        <v>0.14527845036319614</v>
      </c>
      <c r="H32" s="11">
        <v>5</v>
      </c>
      <c r="I32" s="13">
        <v>0.74652777777777779</v>
      </c>
      <c r="J32" s="13">
        <v>0.77361111111111114</v>
      </c>
      <c r="K32" s="44">
        <f>Table3[[#This Row],[Delivery Time]]-Table3[[#This Row],[Order Time]]</f>
        <v>2.7083333333333348E-2</v>
      </c>
      <c r="L32" s="43">
        <v>39</v>
      </c>
      <c r="M32" s="10" t="s">
        <v>0</v>
      </c>
      <c r="N32" s="14"/>
      <c r="O32" s="14" t="s">
        <v>39</v>
      </c>
      <c r="P32" s="10" t="s">
        <v>20</v>
      </c>
      <c r="Q32" s="10"/>
      <c r="R32" s="10"/>
      <c r="S32" s="10"/>
      <c r="T32" s="10"/>
      <c r="U32" s="10"/>
      <c r="V32" s="10"/>
      <c r="W32" s="10"/>
      <c r="X32" s="10"/>
    </row>
    <row r="33" spans="1:24" x14ac:dyDescent="0.25">
      <c r="A33" s="17">
        <f t="shared" si="0"/>
        <v>32</v>
      </c>
      <c r="B33" s="18">
        <v>42926</v>
      </c>
      <c r="C33" s="18" t="str">
        <f t="shared" si="1"/>
        <v>Monday</v>
      </c>
      <c r="D33" s="10" t="str">
        <f t="shared" si="2"/>
        <v>Same</v>
      </c>
      <c r="E33" s="11">
        <v>37.56</v>
      </c>
      <c r="F33" s="11">
        <v>5.44</v>
      </c>
      <c r="G33" s="12">
        <f t="shared" si="3"/>
        <v>0.14483493077742279</v>
      </c>
      <c r="H33" s="11">
        <v>1.5</v>
      </c>
      <c r="I33" s="13">
        <v>0.78333333333333333</v>
      </c>
      <c r="J33" s="13">
        <v>0.79791666666666661</v>
      </c>
      <c r="K33" s="44">
        <f>Table3[[#This Row],[Delivery Time]]-Table3[[#This Row],[Order Time]]</f>
        <v>1.4583333333333282E-2</v>
      </c>
      <c r="L33" s="43">
        <v>21</v>
      </c>
      <c r="M33" s="10" t="s">
        <v>0</v>
      </c>
      <c r="N33" s="14" t="s">
        <v>22</v>
      </c>
      <c r="O33" s="14" t="s">
        <v>39</v>
      </c>
      <c r="P33" s="10" t="s">
        <v>20</v>
      </c>
      <c r="Q33" s="10"/>
      <c r="R33" s="10"/>
      <c r="S33" s="10"/>
      <c r="T33" s="10"/>
      <c r="U33" s="10"/>
      <c r="V33" s="10"/>
      <c r="W33" s="10"/>
      <c r="X33" s="10"/>
    </row>
    <row r="34" spans="1:24" x14ac:dyDescent="0.25">
      <c r="A34" s="17">
        <f t="shared" si="0"/>
        <v>33</v>
      </c>
      <c r="B34" s="18">
        <v>42926</v>
      </c>
      <c r="C34" s="18" t="str">
        <f t="shared" si="1"/>
        <v>Monday</v>
      </c>
      <c r="D34" s="10" t="str">
        <f t="shared" si="2"/>
        <v>Same</v>
      </c>
      <c r="E34" s="11">
        <v>59.65</v>
      </c>
      <c r="F34" s="11">
        <v>10</v>
      </c>
      <c r="G34" s="12">
        <f t="shared" si="3"/>
        <v>0.16764459346186086</v>
      </c>
      <c r="H34" s="11">
        <v>1.5</v>
      </c>
      <c r="I34" s="13">
        <v>0.82638888888888884</v>
      </c>
      <c r="J34" s="13">
        <v>0.84236111111111101</v>
      </c>
      <c r="K34" s="44">
        <f>Table3[[#This Row],[Delivery Time]]-Table3[[#This Row],[Order Time]]</f>
        <v>1.5972222222222165E-2</v>
      </c>
      <c r="L34" s="43">
        <v>23.000000000000004</v>
      </c>
      <c r="M34" s="10" t="s">
        <v>12</v>
      </c>
      <c r="N34" s="14"/>
      <c r="O34" s="14" t="s">
        <v>39</v>
      </c>
      <c r="P34" s="10" t="s">
        <v>20</v>
      </c>
      <c r="Q34" s="10"/>
      <c r="R34" s="10"/>
      <c r="S34" s="10"/>
      <c r="T34" s="10"/>
      <c r="U34" s="10"/>
      <c r="V34" s="10"/>
      <c r="W34" s="10"/>
      <c r="X34" s="10"/>
    </row>
    <row r="35" spans="1:24" x14ac:dyDescent="0.25">
      <c r="A35" s="17">
        <f t="shared" si="0"/>
        <v>34</v>
      </c>
      <c r="B35" s="18">
        <v>42927</v>
      </c>
      <c r="C35" s="18" t="str">
        <f t="shared" si="1"/>
        <v>Tuesday</v>
      </c>
      <c r="D35" s="10" t="str">
        <f t="shared" si="2"/>
        <v>Different</v>
      </c>
      <c r="E35" s="11">
        <v>31.83</v>
      </c>
      <c r="F35" s="11">
        <v>7</v>
      </c>
      <c r="G35" s="12">
        <f t="shared" si="3"/>
        <v>0.21991831605403708</v>
      </c>
      <c r="H35" s="11">
        <v>1.5</v>
      </c>
      <c r="I35" s="13">
        <v>0.71875</v>
      </c>
      <c r="J35" s="13">
        <v>0.74305555555555547</v>
      </c>
      <c r="K35" s="44">
        <f>Table3[[#This Row],[Delivery Time]]-Table3[[#This Row],[Order Time]]</f>
        <v>2.4305555555555469E-2</v>
      </c>
      <c r="L35" s="43">
        <v>35</v>
      </c>
      <c r="M35" s="10" t="s">
        <v>12</v>
      </c>
      <c r="N35" s="14"/>
      <c r="O35" s="14" t="s">
        <v>39</v>
      </c>
      <c r="P35" s="10" t="s">
        <v>20</v>
      </c>
      <c r="Q35" s="10"/>
      <c r="R35" s="10"/>
      <c r="S35" s="10"/>
      <c r="T35" s="10"/>
      <c r="U35" s="10"/>
      <c r="V35" s="10"/>
      <c r="W35" s="10"/>
      <c r="X35" s="10"/>
    </row>
    <row r="36" spans="1:24" x14ac:dyDescent="0.25">
      <c r="A36" s="17">
        <f t="shared" si="0"/>
        <v>35</v>
      </c>
      <c r="B36" s="18">
        <v>42927</v>
      </c>
      <c r="C36" s="18" t="str">
        <f t="shared" si="1"/>
        <v>Tuesday</v>
      </c>
      <c r="D36" s="10" t="str">
        <f t="shared" si="2"/>
        <v>Same</v>
      </c>
      <c r="E36" s="11">
        <v>59.38</v>
      </c>
      <c r="F36" s="11">
        <v>15</v>
      </c>
      <c r="G36" s="12">
        <f t="shared" si="3"/>
        <v>0.2526103065005052</v>
      </c>
      <c r="H36" s="11">
        <v>1.5</v>
      </c>
      <c r="I36" s="13">
        <v>0.77222222222222225</v>
      </c>
      <c r="J36" s="13">
        <v>0.79236111111111107</v>
      </c>
      <c r="K36" s="44">
        <f>Table3[[#This Row],[Delivery Time]]-Table3[[#This Row],[Order Time]]</f>
        <v>2.0138888888888817E-2</v>
      </c>
      <c r="L36" s="43">
        <v>29.000000000000004</v>
      </c>
      <c r="M36" s="10" t="s">
        <v>0</v>
      </c>
      <c r="N36" s="14"/>
      <c r="O36" s="14" t="s">
        <v>39</v>
      </c>
      <c r="P36" s="10" t="s">
        <v>20</v>
      </c>
      <c r="Q36" s="10"/>
      <c r="R36" s="10"/>
      <c r="S36" s="10"/>
      <c r="T36" s="10"/>
      <c r="U36" s="10"/>
      <c r="V36" s="10"/>
      <c r="W36" s="10"/>
      <c r="X36" s="10"/>
    </row>
    <row r="37" spans="1:24" x14ac:dyDescent="0.25">
      <c r="A37" s="17">
        <f t="shared" si="0"/>
        <v>36</v>
      </c>
      <c r="B37" s="18">
        <v>42927</v>
      </c>
      <c r="C37" s="18" t="str">
        <f t="shared" si="1"/>
        <v>Tuesday</v>
      </c>
      <c r="D37" s="10" t="str">
        <f t="shared" si="2"/>
        <v>Same</v>
      </c>
      <c r="E37" s="11">
        <v>53.75</v>
      </c>
      <c r="F37" s="11">
        <v>5</v>
      </c>
      <c r="G37" s="12">
        <f t="shared" si="3"/>
        <v>9.3023255813953487E-2</v>
      </c>
      <c r="H37" s="11">
        <v>5</v>
      </c>
      <c r="I37" s="13">
        <v>0.8125</v>
      </c>
      <c r="J37" s="13">
        <v>0.82638888888888884</v>
      </c>
      <c r="K37" s="44">
        <f>Table3[[#This Row],[Delivery Time]]-Table3[[#This Row],[Order Time]]</f>
        <v>1.388888888888884E-2</v>
      </c>
      <c r="L37" s="43">
        <v>20</v>
      </c>
      <c r="M37" s="10" t="s">
        <v>0</v>
      </c>
      <c r="N37" s="14"/>
      <c r="O37" s="14" t="s">
        <v>39</v>
      </c>
      <c r="P37" s="10" t="s">
        <v>16</v>
      </c>
      <c r="Q37" s="10"/>
      <c r="R37" s="10"/>
      <c r="S37" s="10"/>
      <c r="T37" s="10"/>
      <c r="U37" s="10"/>
      <c r="V37" s="10"/>
      <c r="W37" s="10"/>
      <c r="X37" s="10"/>
    </row>
    <row r="38" spans="1:24" x14ac:dyDescent="0.25">
      <c r="A38" s="17">
        <f t="shared" si="0"/>
        <v>37</v>
      </c>
      <c r="B38" s="18">
        <v>42927</v>
      </c>
      <c r="C38" s="18" t="str">
        <f t="shared" si="1"/>
        <v>Tuesday</v>
      </c>
      <c r="D38" s="10" t="str">
        <f t="shared" si="2"/>
        <v>Same</v>
      </c>
      <c r="E38" s="11">
        <v>39.4</v>
      </c>
      <c r="F38" s="11">
        <v>10.6</v>
      </c>
      <c r="G38" s="12">
        <f t="shared" si="3"/>
        <v>0.26903553299492383</v>
      </c>
      <c r="H38" s="11">
        <v>1.5</v>
      </c>
      <c r="I38" s="13">
        <v>0.82152777777777775</v>
      </c>
      <c r="J38" s="13">
        <v>0.85</v>
      </c>
      <c r="K38" s="44">
        <f>Table3[[#This Row],[Delivery Time]]-Table3[[#This Row],[Order Time]]</f>
        <v>2.8472222222222232E-2</v>
      </c>
      <c r="L38" s="43">
        <v>41</v>
      </c>
      <c r="M38" s="10" t="s">
        <v>11</v>
      </c>
      <c r="N38" s="14"/>
      <c r="O38" s="14" t="s">
        <v>41</v>
      </c>
      <c r="P38" s="10" t="s">
        <v>20</v>
      </c>
      <c r="Q38" s="10"/>
      <c r="R38" s="10"/>
      <c r="S38" s="10"/>
      <c r="T38" s="10"/>
      <c r="U38" s="10"/>
      <c r="V38" s="10"/>
      <c r="W38" s="10"/>
      <c r="X38" s="10"/>
    </row>
    <row r="39" spans="1:24" x14ac:dyDescent="0.25">
      <c r="A39" s="17">
        <f t="shared" si="0"/>
        <v>38</v>
      </c>
      <c r="B39" s="18">
        <v>42928</v>
      </c>
      <c r="C39" s="18" t="str">
        <f t="shared" si="1"/>
        <v>Wednesday</v>
      </c>
      <c r="D39" s="10" t="str">
        <f t="shared" si="2"/>
        <v>Different</v>
      </c>
      <c r="E39" s="11">
        <v>23.82</v>
      </c>
      <c r="F39" s="11">
        <v>5</v>
      </c>
      <c r="G39" s="12">
        <f t="shared" si="3"/>
        <v>0.20990764063811923</v>
      </c>
      <c r="H39" s="11">
        <v>1.5</v>
      </c>
      <c r="I39" s="13">
        <v>0.71597222222222223</v>
      </c>
      <c r="J39" s="13">
        <v>0.73611111111111116</v>
      </c>
      <c r="K39" s="44">
        <f>Table3[[#This Row],[Delivery Time]]-Table3[[#This Row],[Order Time]]</f>
        <v>2.0138888888888928E-2</v>
      </c>
      <c r="L39" s="43">
        <v>29.000000000000004</v>
      </c>
      <c r="M39" s="10" t="s">
        <v>11</v>
      </c>
      <c r="N39" s="14"/>
      <c r="O39" s="14" t="s">
        <v>39</v>
      </c>
      <c r="P39" s="10" t="s">
        <v>20</v>
      </c>
      <c r="Q39" s="10"/>
      <c r="R39" s="10"/>
      <c r="S39" s="10"/>
      <c r="T39" s="10"/>
      <c r="U39" s="10"/>
      <c r="V39" s="10"/>
      <c r="W39" s="10"/>
      <c r="X39" s="10"/>
    </row>
    <row r="40" spans="1:24" x14ac:dyDescent="0.25">
      <c r="A40" s="17">
        <f t="shared" si="0"/>
        <v>39</v>
      </c>
      <c r="B40" s="18">
        <v>42928</v>
      </c>
      <c r="C40" s="18" t="str">
        <f t="shared" si="1"/>
        <v>Wednesday</v>
      </c>
      <c r="D40" s="10" t="str">
        <f t="shared" si="2"/>
        <v>Same</v>
      </c>
      <c r="E40" s="11">
        <v>30.53</v>
      </c>
      <c r="F40" s="11">
        <v>5</v>
      </c>
      <c r="G40" s="12">
        <f t="shared" si="3"/>
        <v>0.16377333770062233</v>
      </c>
      <c r="H40" s="11">
        <v>1.5</v>
      </c>
      <c r="I40" s="13">
        <v>0.75347222222222221</v>
      </c>
      <c r="J40" s="13">
        <v>0.7729166666666667</v>
      </c>
      <c r="K40" s="44">
        <f>Table3[[#This Row],[Delivery Time]]-Table3[[#This Row],[Order Time]]</f>
        <v>1.9444444444444486E-2</v>
      </c>
      <c r="L40" s="43">
        <v>28</v>
      </c>
      <c r="M40" s="10" t="s">
        <v>0</v>
      </c>
      <c r="N40" s="14"/>
      <c r="O40" s="14" t="s">
        <v>42</v>
      </c>
      <c r="P40" s="10" t="s">
        <v>20</v>
      </c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17">
        <f t="shared" si="0"/>
        <v>40</v>
      </c>
      <c r="B41" s="18">
        <v>42928</v>
      </c>
      <c r="C41" s="18" t="str">
        <f t="shared" si="1"/>
        <v>Wednesday</v>
      </c>
      <c r="D41" s="10" t="str">
        <f t="shared" si="2"/>
        <v>Same</v>
      </c>
      <c r="E41" s="11">
        <v>36.21</v>
      </c>
      <c r="F41" s="11">
        <v>5</v>
      </c>
      <c r="G41" s="12">
        <f t="shared" si="3"/>
        <v>0.13808340237503453</v>
      </c>
      <c r="H41" s="11">
        <v>1.5</v>
      </c>
      <c r="I41" s="13">
        <v>0.75624999999999998</v>
      </c>
      <c r="J41" s="13">
        <v>0.78680555555555554</v>
      </c>
      <c r="K41" s="44">
        <f>Table3[[#This Row],[Delivery Time]]-Table3[[#This Row],[Order Time]]</f>
        <v>3.0555555555555558E-2</v>
      </c>
      <c r="L41" s="43">
        <v>44</v>
      </c>
      <c r="M41" s="10" t="s">
        <v>0</v>
      </c>
      <c r="N41" s="14"/>
      <c r="O41" s="14" t="s">
        <v>39</v>
      </c>
      <c r="P41" s="10" t="s">
        <v>20</v>
      </c>
      <c r="Q41" s="10"/>
      <c r="R41" s="10"/>
      <c r="S41" s="10"/>
      <c r="T41" s="10"/>
      <c r="U41" s="10"/>
      <c r="V41" s="10"/>
      <c r="W41" s="10"/>
      <c r="X41" s="10"/>
    </row>
    <row r="42" spans="1:24" x14ac:dyDescent="0.25">
      <c r="A42" s="17">
        <f t="shared" si="0"/>
        <v>41</v>
      </c>
      <c r="B42" s="18">
        <v>42928</v>
      </c>
      <c r="C42" s="18" t="str">
        <f t="shared" si="1"/>
        <v>Wednesday</v>
      </c>
      <c r="D42" s="10" t="str">
        <f t="shared" si="2"/>
        <v>Same</v>
      </c>
      <c r="E42" s="11">
        <v>46.98</v>
      </c>
      <c r="F42" s="11">
        <v>5</v>
      </c>
      <c r="G42" s="12">
        <f t="shared" si="3"/>
        <v>0.10642826734780758</v>
      </c>
      <c r="H42" s="11">
        <v>5</v>
      </c>
      <c r="I42" s="13">
        <v>0.75902777777777775</v>
      </c>
      <c r="J42" s="13">
        <v>0.79583333333333339</v>
      </c>
      <c r="K42" s="44">
        <f>Table3[[#This Row],[Delivery Time]]-Table3[[#This Row],[Order Time]]</f>
        <v>3.6805555555555647E-2</v>
      </c>
      <c r="L42" s="43">
        <v>53</v>
      </c>
      <c r="M42" s="10" t="s">
        <v>0</v>
      </c>
      <c r="N42" s="14"/>
      <c r="O42" s="14" t="s">
        <v>39</v>
      </c>
      <c r="P42" s="10" t="s">
        <v>20</v>
      </c>
      <c r="Q42" s="10"/>
      <c r="R42" s="10"/>
      <c r="S42" s="10"/>
      <c r="T42" s="10"/>
      <c r="U42" s="10"/>
      <c r="V42" s="10"/>
      <c r="W42" s="10"/>
      <c r="X42" s="10"/>
    </row>
    <row r="43" spans="1:24" x14ac:dyDescent="0.25">
      <c r="A43" s="17">
        <f t="shared" si="0"/>
        <v>42</v>
      </c>
      <c r="B43" s="18">
        <v>42928</v>
      </c>
      <c r="C43" s="18" t="str">
        <f t="shared" si="1"/>
        <v>Wednesday</v>
      </c>
      <c r="D43" s="10" t="str">
        <f t="shared" si="2"/>
        <v>Same</v>
      </c>
      <c r="E43" s="11">
        <v>27.06</v>
      </c>
      <c r="F43" s="11">
        <v>6</v>
      </c>
      <c r="G43" s="12">
        <f t="shared" si="3"/>
        <v>0.22172949002217296</v>
      </c>
      <c r="H43" s="11">
        <v>1.5</v>
      </c>
      <c r="I43" s="13">
        <v>0.85277777777777775</v>
      </c>
      <c r="J43" s="13">
        <v>0.87152777777777779</v>
      </c>
      <c r="K43" s="44">
        <f>Table3[[#This Row],[Delivery Time]]-Table3[[#This Row],[Order Time]]</f>
        <v>1.8750000000000044E-2</v>
      </c>
      <c r="L43" s="43">
        <v>26.999999999999996</v>
      </c>
      <c r="M43" s="10" t="s">
        <v>0</v>
      </c>
      <c r="N43" s="14"/>
      <c r="O43" s="14" t="s">
        <v>39</v>
      </c>
      <c r="P43" s="10" t="s">
        <v>20</v>
      </c>
      <c r="Q43" s="10"/>
      <c r="R43" s="10"/>
      <c r="S43" s="10"/>
      <c r="T43" s="10"/>
      <c r="U43" s="10"/>
      <c r="V43" s="10"/>
      <c r="W43" s="10"/>
      <c r="X43" s="10"/>
    </row>
    <row r="44" spans="1:24" x14ac:dyDescent="0.25">
      <c r="A44" s="17">
        <f t="shared" si="0"/>
        <v>43</v>
      </c>
      <c r="B44" s="18">
        <v>42931</v>
      </c>
      <c r="C44" s="18" t="str">
        <f t="shared" si="1"/>
        <v>Saturday</v>
      </c>
      <c r="D44" s="10" t="str">
        <f t="shared" si="2"/>
        <v>Different</v>
      </c>
      <c r="E44" s="11">
        <v>15.7</v>
      </c>
      <c r="F44" s="11">
        <v>3</v>
      </c>
      <c r="G44" s="12">
        <f t="shared" si="3"/>
        <v>0.19108280254777071</v>
      </c>
      <c r="H44" s="11">
        <v>1.5</v>
      </c>
      <c r="I44" s="13">
        <v>0.6743055555555556</v>
      </c>
      <c r="J44" s="13">
        <v>0.7104166666666667</v>
      </c>
      <c r="K44" s="44">
        <f>Table3[[#This Row],[Delivery Time]]-Table3[[#This Row],[Order Time]]</f>
        <v>3.6111111111111094E-2</v>
      </c>
      <c r="L44" s="43">
        <v>52</v>
      </c>
      <c r="M44" s="10" t="s">
        <v>11</v>
      </c>
      <c r="N44" s="14"/>
      <c r="O44" s="14" t="s">
        <v>39</v>
      </c>
      <c r="P44" s="10" t="s">
        <v>20</v>
      </c>
      <c r="Q44" s="10"/>
      <c r="R44" s="10"/>
      <c r="S44" s="10"/>
      <c r="T44" s="10"/>
      <c r="U44" s="10"/>
      <c r="V44" s="10"/>
      <c r="W44" s="10"/>
      <c r="X44" s="10"/>
    </row>
    <row r="45" spans="1:24" x14ac:dyDescent="0.25">
      <c r="A45" s="17">
        <f t="shared" si="0"/>
        <v>44</v>
      </c>
      <c r="B45" s="18">
        <v>42931</v>
      </c>
      <c r="C45" s="18" t="str">
        <f t="shared" si="1"/>
        <v>Saturday</v>
      </c>
      <c r="D45" s="10" t="str">
        <f t="shared" si="2"/>
        <v>Same</v>
      </c>
      <c r="E45" s="11">
        <v>52.12</v>
      </c>
      <c r="F45" s="11">
        <v>5</v>
      </c>
      <c r="G45" s="12">
        <f t="shared" si="3"/>
        <v>9.5932463545663857E-2</v>
      </c>
      <c r="H45" s="11">
        <v>1.5</v>
      </c>
      <c r="I45" s="13">
        <v>0.68472222222222223</v>
      </c>
      <c r="J45" s="13">
        <v>0.71319444444444446</v>
      </c>
      <c r="K45" s="44">
        <f>Table3[[#This Row],[Delivery Time]]-Table3[[#This Row],[Order Time]]</f>
        <v>2.8472222222222232E-2</v>
      </c>
      <c r="L45" s="43">
        <v>41</v>
      </c>
      <c r="M45" s="10" t="s">
        <v>11</v>
      </c>
      <c r="N45" s="14"/>
      <c r="O45" s="14" t="s">
        <v>39</v>
      </c>
      <c r="P45" s="10" t="s">
        <v>20</v>
      </c>
      <c r="Q45" s="10"/>
      <c r="R45" s="10"/>
      <c r="S45" s="10"/>
      <c r="T45" s="10"/>
      <c r="U45" s="10"/>
      <c r="V45" s="10"/>
      <c r="W45" s="10"/>
      <c r="X45" s="10"/>
    </row>
    <row r="46" spans="1:24" x14ac:dyDescent="0.25">
      <c r="A46" s="17">
        <f t="shared" si="0"/>
        <v>45</v>
      </c>
      <c r="B46" s="18">
        <v>42931</v>
      </c>
      <c r="C46" s="18" t="str">
        <f t="shared" si="1"/>
        <v>Saturday</v>
      </c>
      <c r="D46" s="10" t="str">
        <f t="shared" si="2"/>
        <v>Same</v>
      </c>
      <c r="E46" s="11">
        <v>128.06</v>
      </c>
      <c r="F46" s="11">
        <v>12</v>
      </c>
      <c r="G46" s="12">
        <f t="shared" si="3"/>
        <v>9.3706075277213807E-2</v>
      </c>
      <c r="H46" s="11">
        <v>1.5</v>
      </c>
      <c r="I46" s="13">
        <v>0.76527777777777783</v>
      </c>
      <c r="J46" s="13">
        <v>0.78888888888888886</v>
      </c>
      <c r="K46" s="44">
        <f>Table3[[#This Row],[Delivery Time]]-Table3[[#This Row],[Order Time]]</f>
        <v>2.3611111111111027E-2</v>
      </c>
      <c r="L46" s="43">
        <v>34</v>
      </c>
      <c r="M46" s="10" t="s">
        <v>0</v>
      </c>
      <c r="N46" s="14" t="s">
        <v>22</v>
      </c>
      <c r="O46" s="14" t="s">
        <v>39</v>
      </c>
      <c r="P46" s="10" t="s">
        <v>20</v>
      </c>
      <c r="Q46" s="10"/>
      <c r="R46" s="10"/>
      <c r="S46" s="10"/>
      <c r="T46" s="10"/>
      <c r="U46" s="10"/>
      <c r="V46" s="10"/>
      <c r="W46" s="10"/>
      <c r="X46" s="10"/>
    </row>
    <row r="47" spans="1:24" x14ac:dyDescent="0.25">
      <c r="A47" s="17">
        <f t="shared" si="0"/>
        <v>46</v>
      </c>
      <c r="B47" s="18">
        <v>42931</v>
      </c>
      <c r="C47" s="18" t="str">
        <f t="shared" si="1"/>
        <v>Saturday</v>
      </c>
      <c r="D47" s="10" t="str">
        <f t="shared" si="2"/>
        <v>Same</v>
      </c>
      <c r="E47" s="11">
        <v>21.87</v>
      </c>
      <c r="F47" s="11">
        <v>3</v>
      </c>
      <c r="G47" s="12">
        <f t="shared" si="3"/>
        <v>0.13717421124828533</v>
      </c>
      <c r="H47" s="11">
        <v>1.5</v>
      </c>
      <c r="I47" s="13">
        <v>0.7729166666666667</v>
      </c>
      <c r="J47" s="13">
        <v>0.7993055555555556</v>
      </c>
      <c r="K47" s="44">
        <f>Table3[[#This Row],[Delivery Time]]-Table3[[#This Row],[Order Time]]</f>
        <v>2.6388888888888906E-2</v>
      </c>
      <c r="L47" s="43">
        <v>38</v>
      </c>
      <c r="M47" s="10" t="s">
        <v>0</v>
      </c>
      <c r="N47" s="14" t="s">
        <v>24</v>
      </c>
      <c r="O47" s="14" t="s">
        <v>39</v>
      </c>
      <c r="P47" s="10" t="s">
        <v>20</v>
      </c>
      <c r="Q47" s="10"/>
      <c r="R47" s="10"/>
      <c r="S47" s="10"/>
      <c r="T47" s="10"/>
      <c r="U47" s="10"/>
      <c r="V47" s="10"/>
      <c r="W47" s="10"/>
      <c r="X47" s="10"/>
    </row>
    <row r="48" spans="1:24" x14ac:dyDescent="0.25">
      <c r="A48" s="17">
        <f t="shared" si="0"/>
        <v>47</v>
      </c>
      <c r="B48" s="18">
        <v>42931</v>
      </c>
      <c r="C48" s="18" t="str">
        <f t="shared" si="1"/>
        <v>Saturday</v>
      </c>
      <c r="D48" s="10" t="str">
        <f t="shared" si="2"/>
        <v>Same</v>
      </c>
      <c r="E48" s="11">
        <v>50.61</v>
      </c>
      <c r="F48" s="11">
        <v>8</v>
      </c>
      <c r="G48" s="12">
        <f t="shared" si="3"/>
        <v>0.15807152736613317</v>
      </c>
      <c r="H48" s="11">
        <v>1.5</v>
      </c>
      <c r="I48" s="13">
        <v>0.79999999999999993</v>
      </c>
      <c r="J48" s="13">
        <v>0.82638888888888884</v>
      </c>
      <c r="K48" s="44">
        <f>Table3[[#This Row],[Delivery Time]]-Table3[[#This Row],[Order Time]]</f>
        <v>2.6388888888888906E-2</v>
      </c>
      <c r="L48" s="43">
        <v>38</v>
      </c>
      <c r="M48" s="10" t="s">
        <v>0</v>
      </c>
      <c r="N48" s="14" t="s">
        <v>22</v>
      </c>
      <c r="O48" s="14" t="s">
        <v>39</v>
      </c>
      <c r="P48" s="10" t="s">
        <v>20</v>
      </c>
      <c r="Q48" s="10"/>
      <c r="R48" s="10"/>
      <c r="S48" s="10"/>
      <c r="T48" s="10"/>
      <c r="U48" s="10"/>
      <c r="V48" s="10"/>
      <c r="W48" s="10"/>
      <c r="X48" s="10"/>
    </row>
    <row r="49" spans="1:24" x14ac:dyDescent="0.25">
      <c r="A49" s="17">
        <f t="shared" si="0"/>
        <v>48</v>
      </c>
      <c r="B49" s="18">
        <v>42931</v>
      </c>
      <c r="C49" s="18" t="str">
        <f t="shared" si="1"/>
        <v>Saturday</v>
      </c>
      <c r="D49" s="10" t="str">
        <f t="shared" si="2"/>
        <v>Same</v>
      </c>
      <c r="E49" s="11">
        <v>68.31</v>
      </c>
      <c r="F49" s="11">
        <v>7</v>
      </c>
      <c r="G49" s="12">
        <f t="shared" si="3"/>
        <v>0.10247401551749377</v>
      </c>
      <c r="H49" s="11">
        <v>1.5</v>
      </c>
      <c r="I49" s="13">
        <v>0.8027777777777777</v>
      </c>
      <c r="J49" s="13">
        <v>0.8340277777777777</v>
      </c>
      <c r="K49" s="44">
        <f>Table3[[#This Row],[Delivery Time]]-Table3[[#This Row],[Order Time]]</f>
        <v>3.125E-2</v>
      </c>
      <c r="L49" s="43">
        <v>45</v>
      </c>
      <c r="M49" s="10" t="s">
        <v>0</v>
      </c>
      <c r="N49" s="14"/>
      <c r="O49" s="14" t="s">
        <v>39</v>
      </c>
      <c r="P49" s="10" t="s">
        <v>20</v>
      </c>
      <c r="Q49" s="10"/>
      <c r="R49" s="10"/>
      <c r="S49" s="10"/>
      <c r="T49" s="10"/>
      <c r="U49" s="10"/>
      <c r="V49" s="10"/>
      <c r="W49" s="10"/>
      <c r="X49" s="10"/>
    </row>
    <row r="50" spans="1:24" x14ac:dyDescent="0.25">
      <c r="A50" s="17">
        <f t="shared" si="0"/>
        <v>49</v>
      </c>
      <c r="B50" s="18">
        <v>42931</v>
      </c>
      <c r="C50" s="18" t="str">
        <f t="shared" si="1"/>
        <v>Saturday</v>
      </c>
      <c r="D50" s="10" t="str">
        <f t="shared" si="2"/>
        <v>Same</v>
      </c>
      <c r="E50" s="11">
        <v>38.42</v>
      </c>
      <c r="F50" s="11">
        <v>8</v>
      </c>
      <c r="G50" s="12">
        <f t="shared" si="3"/>
        <v>0.20822488287350338</v>
      </c>
      <c r="H50" s="11">
        <v>1.5</v>
      </c>
      <c r="I50" s="13">
        <v>0.82638888888888884</v>
      </c>
      <c r="J50" s="13">
        <v>0.85833333333333339</v>
      </c>
      <c r="K50" s="44">
        <f>Table3[[#This Row],[Delivery Time]]-Table3[[#This Row],[Order Time]]</f>
        <v>3.1944444444444553E-2</v>
      </c>
      <c r="L50" s="43">
        <v>46.000000000000007</v>
      </c>
      <c r="M50" s="10" t="s">
        <v>0</v>
      </c>
      <c r="N50" s="14" t="s">
        <v>22</v>
      </c>
      <c r="O50" s="14" t="s">
        <v>39</v>
      </c>
      <c r="P50" s="10" t="s">
        <v>20</v>
      </c>
      <c r="Q50" s="10"/>
      <c r="R50" s="10"/>
      <c r="S50" s="10"/>
      <c r="T50" s="10"/>
      <c r="U50" s="10"/>
      <c r="V50" s="10"/>
      <c r="W50" s="10"/>
      <c r="X50" s="10"/>
    </row>
    <row r="51" spans="1:24" x14ac:dyDescent="0.25">
      <c r="A51" s="17">
        <f t="shared" si="0"/>
        <v>50</v>
      </c>
      <c r="B51" s="18">
        <v>42931</v>
      </c>
      <c r="C51" s="18" t="str">
        <f t="shared" si="1"/>
        <v>Saturday</v>
      </c>
      <c r="D51" s="10" t="str">
        <f t="shared" si="2"/>
        <v>Same</v>
      </c>
      <c r="E51" s="11">
        <v>38.65</v>
      </c>
      <c r="F51" s="11">
        <v>4</v>
      </c>
      <c r="G51" s="12">
        <f t="shared" si="3"/>
        <v>0.10349288486416559</v>
      </c>
      <c r="H51" s="11">
        <v>5</v>
      </c>
      <c r="I51" s="13">
        <v>0.85902777777777783</v>
      </c>
      <c r="J51" s="13">
        <v>0.88194444444444453</v>
      </c>
      <c r="K51" s="44">
        <f>Table3[[#This Row],[Delivery Time]]-Table3[[#This Row],[Order Time]]</f>
        <v>2.2916666666666696E-2</v>
      </c>
      <c r="L51" s="43">
        <v>33</v>
      </c>
      <c r="M51" s="10" t="s">
        <v>11</v>
      </c>
      <c r="N51" s="14"/>
      <c r="O51" s="14" t="s">
        <v>39</v>
      </c>
      <c r="P51" s="10" t="s">
        <v>20</v>
      </c>
      <c r="Q51" s="10"/>
      <c r="R51" s="10"/>
      <c r="S51" s="10"/>
      <c r="T51" s="10"/>
      <c r="U51" s="10"/>
      <c r="V51" s="10"/>
      <c r="W51" s="10"/>
      <c r="X51" s="10"/>
    </row>
    <row r="52" spans="1:24" x14ac:dyDescent="0.25">
      <c r="A52" s="17">
        <f t="shared" si="0"/>
        <v>51</v>
      </c>
      <c r="B52" s="18">
        <v>42932</v>
      </c>
      <c r="C52" s="18" t="str">
        <f t="shared" si="1"/>
        <v>Sunday</v>
      </c>
      <c r="D52" s="10" t="str">
        <f t="shared" si="2"/>
        <v>Different</v>
      </c>
      <c r="E52" s="11">
        <v>37.78</v>
      </c>
      <c r="F52" s="11">
        <v>7</v>
      </c>
      <c r="G52" s="12">
        <f t="shared" si="3"/>
        <v>0.18528321863419797</v>
      </c>
      <c r="H52" s="11">
        <v>1.5</v>
      </c>
      <c r="I52" s="13">
        <v>0.72638888888888886</v>
      </c>
      <c r="J52" s="13">
        <v>0.75347222222222221</v>
      </c>
      <c r="K52" s="44">
        <f>Table3[[#This Row],[Delivery Time]]-Table3[[#This Row],[Order Time]]</f>
        <v>2.7083333333333348E-2</v>
      </c>
      <c r="L52" s="43">
        <v>39</v>
      </c>
      <c r="M52" s="10" t="s">
        <v>0</v>
      </c>
      <c r="N52" s="14"/>
      <c r="O52" s="14" t="s">
        <v>39</v>
      </c>
      <c r="P52" s="10" t="s">
        <v>20</v>
      </c>
      <c r="Q52" s="10"/>
      <c r="R52" s="10"/>
      <c r="S52" s="10"/>
      <c r="T52" s="10"/>
      <c r="U52" s="10"/>
      <c r="V52" s="10"/>
      <c r="W52" s="10"/>
      <c r="X52" s="10"/>
    </row>
    <row r="53" spans="1:24" x14ac:dyDescent="0.25">
      <c r="A53" s="17">
        <f t="shared" si="0"/>
        <v>52</v>
      </c>
      <c r="B53" s="18">
        <v>42932</v>
      </c>
      <c r="C53" s="18" t="str">
        <f t="shared" si="1"/>
        <v>Sunday</v>
      </c>
      <c r="D53" s="10" t="str">
        <f t="shared" si="2"/>
        <v>Same</v>
      </c>
      <c r="E53" s="11">
        <v>53.75</v>
      </c>
      <c r="F53" s="11">
        <v>10</v>
      </c>
      <c r="G53" s="12">
        <f t="shared" si="3"/>
        <v>0.18604651162790697</v>
      </c>
      <c r="H53" s="11">
        <v>1.5</v>
      </c>
      <c r="I53" s="13">
        <v>0.72916666666666663</v>
      </c>
      <c r="J53" s="13">
        <v>0.76180555555555562</v>
      </c>
      <c r="K53" s="44">
        <f>Table3[[#This Row],[Delivery Time]]-Table3[[#This Row],[Order Time]]</f>
        <v>3.2638888888888995E-2</v>
      </c>
      <c r="L53" s="43">
        <v>47.000000000000007</v>
      </c>
      <c r="M53" s="10" t="s">
        <v>0</v>
      </c>
      <c r="N53" s="14"/>
      <c r="O53" s="14" t="s">
        <v>39</v>
      </c>
      <c r="P53" s="10" t="s">
        <v>20</v>
      </c>
      <c r="Q53" s="10"/>
      <c r="R53" s="10"/>
      <c r="S53" s="10"/>
      <c r="T53" s="10"/>
      <c r="U53" s="10"/>
      <c r="V53" s="10"/>
      <c r="W53" s="10"/>
      <c r="X53" s="10"/>
    </row>
    <row r="54" spans="1:24" x14ac:dyDescent="0.25">
      <c r="A54" s="17">
        <f t="shared" si="0"/>
        <v>53</v>
      </c>
      <c r="B54" s="18">
        <v>42932</v>
      </c>
      <c r="C54" s="18" t="str">
        <f t="shared" si="1"/>
        <v>Sunday</v>
      </c>
      <c r="D54" s="10" t="str">
        <f t="shared" si="2"/>
        <v>Same</v>
      </c>
      <c r="E54" s="11">
        <v>20.03</v>
      </c>
      <c r="F54" s="11">
        <v>4</v>
      </c>
      <c r="G54" s="12">
        <f t="shared" si="3"/>
        <v>0.19970044932601097</v>
      </c>
      <c r="H54" s="11">
        <v>5</v>
      </c>
      <c r="I54" s="13">
        <v>0.7270833333333333</v>
      </c>
      <c r="J54" s="13">
        <v>0.76736111111111116</v>
      </c>
      <c r="K54" s="44">
        <f>Table3[[#This Row],[Delivery Time]]-Table3[[#This Row],[Order Time]]</f>
        <v>4.0277777777777857E-2</v>
      </c>
      <c r="L54" s="43">
        <v>58.000000000000007</v>
      </c>
      <c r="M54" s="10" t="s">
        <v>0</v>
      </c>
      <c r="N54" s="14"/>
      <c r="O54" s="14" t="s">
        <v>39</v>
      </c>
      <c r="P54" s="10" t="s">
        <v>20</v>
      </c>
      <c r="Q54" s="10"/>
      <c r="R54" s="10"/>
      <c r="S54" s="10"/>
      <c r="T54" s="10"/>
      <c r="U54" s="10"/>
      <c r="V54" s="10"/>
      <c r="W54" s="10"/>
      <c r="X54" s="10"/>
    </row>
    <row r="55" spans="1:24" x14ac:dyDescent="0.25">
      <c r="A55" s="17">
        <f t="shared" si="0"/>
        <v>54</v>
      </c>
      <c r="B55" s="18">
        <v>42932</v>
      </c>
      <c r="C55" s="18" t="str">
        <f t="shared" si="1"/>
        <v>Sunday</v>
      </c>
      <c r="D55" s="10" t="str">
        <f t="shared" si="2"/>
        <v>Same</v>
      </c>
      <c r="E55" s="11">
        <v>44.38</v>
      </c>
      <c r="F55" s="11">
        <v>6.62</v>
      </c>
      <c r="G55" s="12">
        <f t="shared" si="3"/>
        <v>0.14916629112212706</v>
      </c>
      <c r="H55" s="11">
        <v>1.5</v>
      </c>
      <c r="I55" s="13">
        <v>0.7909722222222223</v>
      </c>
      <c r="J55" s="13">
        <v>0.8125</v>
      </c>
      <c r="K55" s="44">
        <f>Table3[[#This Row],[Delivery Time]]-Table3[[#This Row],[Order Time]]</f>
        <v>2.1527777777777701E-2</v>
      </c>
      <c r="L55" s="43">
        <v>31.000000000000004</v>
      </c>
      <c r="M55" s="10" t="s">
        <v>0</v>
      </c>
      <c r="N55" s="14"/>
      <c r="O55" s="14" t="s">
        <v>41</v>
      </c>
      <c r="P55" s="10" t="s">
        <v>20</v>
      </c>
      <c r="Q55" s="10"/>
      <c r="R55" s="10"/>
      <c r="S55" s="10"/>
      <c r="T55" s="10"/>
      <c r="U55" s="10"/>
      <c r="V55" s="10"/>
      <c r="W55" s="10"/>
      <c r="X55" s="10"/>
    </row>
    <row r="56" spans="1:24" x14ac:dyDescent="0.25">
      <c r="A56" s="17">
        <f t="shared" si="0"/>
        <v>55</v>
      </c>
      <c r="B56" s="18">
        <v>42932</v>
      </c>
      <c r="C56" s="18" t="str">
        <f t="shared" si="1"/>
        <v>Sunday</v>
      </c>
      <c r="D56" s="10" t="str">
        <f t="shared" si="2"/>
        <v>Same</v>
      </c>
      <c r="E56" s="11">
        <v>52.77</v>
      </c>
      <c r="F56" s="11">
        <v>10</v>
      </c>
      <c r="G56" s="12">
        <f t="shared" si="3"/>
        <v>0.18950161076369149</v>
      </c>
      <c r="H56" s="11">
        <v>1.5</v>
      </c>
      <c r="I56" s="13">
        <v>0.7909722222222223</v>
      </c>
      <c r="J56" s="13">
        <v>0.81874999999999998</v>
      </c>
      <c r="K56" s="44">
        <f>Table3[[#This Row],[Delivery Time]]-Table3[[#This Row],[Order Time]]</f>
        <v>2.7777777777777679E-2</v>
      </c>
      <c r="L56" s="43">
        <v>40</v>
      </c>
      <c r="M56" s="10" t="s">
        <v>0</v>
      </c>
      <c r="N56" s="14"/>
      <c r="O56" s="14" t="s">
        <v>39</v>
      </c>
      <c r="P56" s="10" t="s">
        <v>20</v>
      </c>
      <c r="Q56" s="10"/>
      <c r="R56" s="10"/>
      <c r="S56" s="10"/>
      <c r="T56" s="10"/>
      <c r="U56" s="10"/>
      <c r="V56" s="10"/>
      <c r="W56" s="10"/>
      <c r="X56" s="10"/>
    </row>
    <row r="57" spans="1:24" x14ac:dyDescent="0.25">
      <c r="A57" s="17">
        <f t="shared" si="0"/>
        <v>56</v>
      </c>
      <c r="B57" s="18">
        <v>42932</v>
      </c>
      <c r="C57" s="18" t="str">
        <f t="shared" si="1"/>
        <v>Sunday</v>
      </c>
      <c r="D57" s="10" t="str">
        <f t="shared" si="2"/>
        <v>Same</v>
      </c>
      <c r="E57" s="11">
        <v>20.239999999999998</v>
      </c>
      <c r="F57" s="11">
        <v>3</v>
      </c>
      <c r="G57" s="12">
        <f t="shared" si="3"/>
        <v>0.14822134387351779</v>
      </c>
      <c r="H57" s="11">
        <v>1.5</v>
      </c>
      <c r="I57" s="13">
        <v>0.81041666666666667</v>
      </c>
      <c r="J57" s="13">
        <v>0.83888888888888891</v>
      </c>
      <c r="K57" s="44">
        <f>Table3[[#This Row],[Delivery Time]]-Table3[[#This Row],[Order Time]]</f>
        <v>2.8472222222222232E-2</v>
      </c>
      <c r="L57" s="43">
        <v>41</v>
      </c>
      <c r="M57" s="10" t="s">
        <v>11</v>
      </c>
      <c r="N57" s="14"/>
      <c r="O57" s="14" t="s">
        <v>39</v>
      </c>
      <c r="P57" s="10" t="s">
        <v>20</v>
      </c>
      <c r="Q57" s="10"/>
      <c r="R57" s="10"/>
      <c r="S57" s="10"/>
      <c r="T57" s="10"/>
      <c r="U57" s="10"/>
      <c r="V57" s="10"/>
      <c r="W57" s="10"/>
      <c r="X57" s="10"/>
    </row>
    <row r="58" spans="1:24" x14ac:dyDescent="0.25">
      <c r="A58" s="17">
        <f t="shared" si="0"/>
        <v>57</v>
      </c>
      <c r="B58" s="18">
        <v>42933</v>
      </c>
      <c r="C58" s="18" t="str">
        <f t="shared" si="1"/>
        <v>Monday</v>
      </c>
      <c r="D58" s="10" t="str">
        <f t="shared" si="2"/>
        <v>Different</v>
      </c>
      <c r="E58" s="11">
        <v>23.82</v>
      </c>
      <c r="F58" s="11">
        <v>3.18</v>
      </c>
      <c r="G58" s="12">
        <f t="shared" si="3"/>
        <v>0.13350125944584385</v>
      </c>
      <c r="H58" s="11">
        <v>1.5</v>
      </c>
      <c r="I58" s="13">
        <v>0.70416666666666661</v>
      </c>
      <c r="J58" s="13">
        <v>0.72986111111111107</v>
      </c>
      <c r="K58" s="44">
        <f>Table3[[#This Row],[Delivery Time]]-Table3[[#This Row],[Order Time]]</f>
        <v>2.5694444444444464E-2</v>
      </c>
      <c r="L58" s="43">
        <v>37</v>
      </c>
      <c r="M58" s="10" t="s">
        <v>11</v>
      </c>
      <c r="N58" s="14"/>
      <c r="O58" s="14" t="s">
        <v>41</v>
      </c>
      <c r="P58" s="10" t="s">
        <v>20</v>
      </c>
      <c r="Q58" s="10"/>
    </row>
    <row r="59" spans="1:24" x14ac:dyDescent="0.25">
      <c r="A59" s="17">
        <f t="shared" si="0"/>
        <v>58</v>
      </c>
      <c r="B59" s="18">
        <v>42933</v>
      </c>
      <c r="C59" s="18" t="str">
        <f t="shared" si="1"/>
        <v>Monday</v>
      </c>
      <c r="D59" s="10" t="str">
        <f t="shared" si="2"/>
        <v>Same</v>
      </c>
      <c r="E59" s="11">
        <v>34.1</v>
      </c>
      <c r="F59" s="11">
        <v>3.38</v>
      </c>
      <c r="G59" s="12">
        <f t="shared" si="3"/>
        <v>9.9120234604105559E-2</v>
      </c>
      <c r="H59" s="11">
        <v>1.5</v>
      </c>
      <c r="I59" s="13">
        <v>0.73263888888888884</v>
      </c>
      <c r="J59" s="13">
        <v>0.75277777777777777</v>
      </c>
      <c r="K59" s="44">
        <f>Table3[[#This Row],[Delivery Time]]-Table3[[#This Row],[Order Time]]</f>
        <v>2.0138888888888928E-2</v>
      </c>
      <c r="L59" s="43">
        <v>29.000000000000004</v>
      </c>
      <c r="M59" s="10" t="s">
        <v>11</v>
      </c>
      <c r="N59" s="14"/>
      <c r="O59" s="14" t="s">
        <v>39</v>
      </c>
      <c r="P59" s="10" t="s">
        <v>20</v>
      </c>
      <c r="Q59" s="10"/>
    </row>
    <row r="60" spans="1:24" x14ac:dyDescent="0.25">
      <c r="A60" s="17">
        <f t="shared" si="0"/>
        <v>59</v>
      </c>
      <c r="B60" s="18">
        <v>42933</v>
      </c>
      <c r="C60" s="18" t="str">
        <f t="shared" si="1"/>
        <v>Monday</v>
      </c>
      <c r="D60" s="10" t="str">
        <f t="shared" si="2"/>
        <v>Same</v>
      </c>
      <c r="E60" s="11">
        <v>48.17</v>
      </c>
      <c r="F60" s="11">
        <v>5</v>
      </c>
      <c r="G60" s="12">
        <f t="shared" si="3"/>
        <v>0.10379904504878555</v>
      </c>
      <c r="H60" s="11">
        <v>1.5</v>
      </c>
      <c r="I60" s="13">
        <v>0.75694444444444453</v>
      </c>
      <c r="J60" s="13">
        <v>0.78125</v>
      </c>
      <c r="K60" s="44">
        <f>Table3[[#This Row],[Delivery Time]]-Table3[[#This Row],[Order Time]]</f>
        <v>2.4305555555555469E-2</v>
      </c>
      <c r="L60" s="43">
        <v>35</v>
      </c>
      <c r="M60" s="10" t="s">
        <v>0</v>
      </c>
      <c r="N60" s="14"/>
      <c r="O60" s="14" t="s">
        <v>39</v>
      </c>
      <c r="P60" s="10" t="s">
        <v>20</v>
      </c>
      <c r="Q60" s="10"/>
    </row>
    <row r="61" spans="1:24" x14ac:dyDescent="0.25">
      <c r="A61" s="17">
        <f t="shared" si="0"/>
        <v>60</v>
      </c>
      <c r="B61" s="18">
        <v>42933</v>
      </c>
      <c r="C61" s="18" t="str">
        <f t="shared" si="1"/>
        <v>Monday</v>
      </c>
      <c r="D61" s="10" t="str">
        <f t="shared" si="2"/>
        <v>Same</v>
      </c>
      <c r="E61" s="11">
        <v>57.91</v>
      </c>
      <c r="F61" s="11">
        <v>10</v>
      </c>
      <c r="G61" s="12">
        <f t="shared" si="3"/>
        <v>0.17268174753928511</v>
      </c>
      <c r="H61" s="11">
        <v>1.5</v>
      </c>
      <c r="I61" s="13">
        <v>0.7631944444444444</v>
      </c>
      <c r="J61" s="13">
        <v>0.78749999999999998</v>
      </c>
      <c r="K61" s="44">
        <f>Table3[[#This Row],[Delivery Time]]-Table3[[#This Row],[Order Time]]</f>
        <v>2.430555555555558E-2</v>
      </c>
      <c r="L61" s="43">
        <v>35</v>
      </c>
      <c r="M61" s="10" t="s">
        <v>0</v>
      </c>
      <c r="N61" s="14"/>
      <c r="O61" s="14" t="s">
        <v>39</v>
      </c>
      <c r="P61" s="10" t="s">
        <v>20</v>
      </c>
      <c r="Q61" s="10"/>
    </row>
    <row r="62" spans="1:24" x14ac:dyDescent="0.25">
      <c r="A62" s="17">
        <f t="shared" si="0"/>
        <v>61</v>
      </c>
      <c r="B62" s="18">
        <v>42933</v>
      </c>
      <c r="C62" s="18" t="str">
        <f t="shared" si="1"/>
        <v>Monday</v>
      </c>
      <c r="D62" s="10" t="str">
        <f t="shared" si="2"/>
        <v>Same</v>
      </c>
      <c r="E62" s="11">
        <v>18.350000000000001</v>
      </c>
      <c r="F62" s="11">
        <v>6.65</v>
      </c>
      <c r="G62" s="12">
        <f t="shared" si="3"/>
        <v>0.3623978201634877</v>
      </c>
      <c r="H62" s="11">
        <v>1.5</v>
      </c>
      <c r="I62" s="13">
        <v>0.76388888888888884</v>
      </c>
      <c r="J62" s="13">
        <v>0.79583333333333339</v>
      </c>
      <c r="K62" s="44">
        <f>Table3[[#This Row],[Delivery Time]]-Table3[[#This Row],[Order Time]]</f>
        <v>3.1944444444444553E-2</v>
      </c>
      <c r="L62" s="43">
        <v>46.000000000000007</v>
      </c>
      <c r="M62" s="10" t="s">
        <v>0</v>
      </c>
      <c r="N62" s="14"/>
      <c r="O62" s="14" t="s">
        <v>39</v>
      </c>
      <c r="P62" s="10" t="s">
        <v>20</v>
      </c>
      <c r="Q62" s="10"/>
    </row>
    <row r="63" spans="1:24" x14ac:dyDescent="0.25">
      <c r="A63" s="17">
        <f t="shared" si="0"/>
        <v>62</v>
      </c>
      <c r="B63" s="18">
        <v>42933</v>
      </c>
      <c r="C63" s="18" t="str">
        <f t="shared" si="1"/>
        <v>Monday</v>
      </c>
      <c r="D63" s="10" t="str">
        <f t="shared" si="2"/>
        <v>Same</v>
      </c>
      <c r="E63" s="11">
        <v>37.89</v>
      </c>
      <c r="F63" s="11">
        <v>19.11</v>
      </c>
      <c r="G63" s="12">
        <f t="shared" si="3"/>
        <v>0.5043547110055423</v>
      </c>
      <c r="H63" s="11">
        <v>5</v>
      </c>
      <c r="I63" s="13">
        <v>0.80902777777777779</v>
      </c>
      <c r="J63" s="13">
        <v>0.82777777777777783</v>
      </c>
      <c r="K63" s="44">
        <f>Table3[[#This Row],[Delivery Time]]-Table3[[#This Row],[Order Time]]</f>
        <v>1.8750000000000044E-2</v>
      </c>
      <c r="L63" s="43">
        <v>26.999999999999996</v>
      </c>
      <c r="M63" s="10" t="s">
        <v>0</v>
      </c>
      <c r="N63" s="14"/>
      <c r="O63" s="14" t="s">
        <v>39</v>
      </c>
      <c r="P63" s="10" t="s">
        <v>20</v>
      </c>
      <c r="Q63" s="10"/>
    </row>
    <row r="64" spans="1:24" x14ac:dyDescent="0.25">
      <c r="A64" s="17">
        <f t="shared" si="0"/>
        <v>63</v>
      </c>
      <c r="B64" s="18">
        <v>42933</v>
      </c>
      <c r="C64" s="18" t="str">
        <f t="shared" si="1"/>
        <v>Monday</v>
      </c>
      <c r="D64" s="10" t="str">
        <f t="shared" si="2"/>
        <v>Same</v>
      </c>
      <c r="E64" s="11">
        <v>80.319999999999993</v>
      </c>
      <c r="F64" s="11">
        <v>7</v>
      </c>
      <c r="G64" s="12">
        <f t="shared" si="3"/>
        <v>8.7151394422310763E-2</v>
      </c>
      <c r="H64" s="11">
        <v>1.5</v>
      </c>
      <c r="I64" s="13">
        <v>0.79791666666666661</v>
      </c>
      <c r="J64" s="13">
        <v>0.8354166666666667</v>
      </c>
      <c r="K64" s="44">
        <f>Table3[[#This Row],[Delivery Time]]-Table3[[#This Row],[Order Time]]</f>
        <v>3.7500000000000089E-2</v>
      </c>
      <c r="L64" s="43">
        <v>53.999999999999993</v>
      </c>
      <c r="M64" s="10" t="s">
        <v>0</v>
      </c>
      <c r="N64" s="14"/>
      <c r="O64" s="14" t="s">
        <v>39</v>
      </c>
      <c r="P64" s="10" t="s">
        <v>20</v>
      </c>
      <c r="Q64" s="10"/>
    </row>
    <row r="65" spans="1:17" x14ac:dyDescent="0.25">
      <c r="A65" s="17">
        <f t="shared" si="0"/>
        <v>64</v>
      </c>
      <c r="B65" s="18">
        <v>42934</v>
      </c>
      <c r="C65" s="18" t="str">
        <f t="shared" si="1"/>
        <v>Tuesday</v>
      </c>
      <c r="D65" s="10" t="str">
        <f t="shared" si="2"/>
        <v>Different</v>
      </c>
      <c r="E65" s="11">
        <v>36.26</v>
      </c>
      <c r="F65" s="11">
        <v>6</v>
      </c>
      <c r="G65" s="12">
        <f t="shared" si="3"/>
        <v>0.16547159404302261</v>
      </c>
      <c r="H65" s="11">
        <v>1.5</v>
      </c>
      <c r="I65" s="13">
        <v>0.72361111111111109</v>
      </c>
      <c r="J65" s="13">
        <v>0.74513888888888891</v>
      </c>
      <c r="K65" s="44">
        <f>Table3[[#This Row],[Delivery Time]]-Table3[[#This Row],[Order Time]]</f>
        <v>2.1527777777777812E-2</v>
      </c>
      <c r="L65" s="43">
        <v>31.000000000000004</v>
      </c>
      <c r="M65" s="10" t="s">
        <v>0</v>
      </c>
      <c r="N65" s="14" t="s">
        <v>26</v>
      </c>
      <c r="O65" s="14" t="s">
        <v>39</v>
      </c>
      <c r="P65" s="10" t="s">
        <v>20</v>
      </c>
      <c r="Q65" s="10"/>
    </row>
    <row r="66" spans="1:17" x14ac:dyDescent="0.25">
      <c r="A66" s="17">
        <f t="shared" si="0"/>
        <v>65</v>
      </c>
      <c r="B66" s="18">
        <v>42934</v>
      </c>
      <c r="C66" s="18" t="str">
        <f t="shared" si="1"/>
        <v>Tuesday</v>
      </c>
      <c r="D66" s="10" t="str">
        <f t="shared" si="2"/>
        <v>Same</v>
      </c>
      <c r="E66" s="11">
        <v>29.39</v>
      </c>
      <c r="F66" s="11">
        <v>5.5</v>
      </c>
      <c r="G66" s="12">
        <f t="shared" si="3"/>
        <v>0.18713848247703299</v>
      </c>
      <c r="H66" s="11">
        <v>5</v>
      </c>
      <c r="I66" s="13">
        <v>0.75763888888888886</v>
      </c>
      <c r="J66" s="13">
        <v>0.77986111111111101</v>
      </c>
      <c r="K66" s="44">
        <f>Table3[[#This Row],[Delivery Time]]-Table3[[#This Row],[Order Time]]</f>
        <v>2.2222222222222143E-2</v>
      </c>
      <c r="L66" s="43">
        <v>32</v>
      </c>
      <c r="M66" s="10" t="s">
        <v>0</v>
      </c>
      <c r="N66" s="14"/>
      <c r="O66" s="14" t="s">
        <v>39</v>
      </c>
      <c r="P66" s="10" t="s">
        <v>20</v>
      </c>
      <c r="Q66" s="10"/>
    </row>
    <row r="67" spans="1:17" x14ac:dyDescent="0.25">
      <c r="A67" s="17">
        <f t="shared" si="0"/>
        <v>66</v>
      </c>
      <c r="B67" s="18">
        <v>42934</v>
      </c>
      <c r="C67" s="18" t="str">
        <f t="shared" si="1"/>
        <v>Tuesday</v>
      </c>
      <c r="D67" s="10" t="str">
        <f t="shared" si="2"/>
        <v>Same</v>
      </c>
      <c r="E67" s="11">
        <v>24.09</v>
      </c>
      <c r="F67" s="11">
        <v>3</v>
      </c>
      <c r="G67" s="12">
        <f t="shared" si="3"/>
        <v>0.12453300124533001</v>
      </c>
      <c r="H67" s="11">
        <v>7</v>
      </c>
      <c r="I67" s="13">
        <v>0.76111111111111107</v>
      </c>
      <c r="J67" s="13">
        <v>0.78749999999999998</v>
      </c>
      <c r="K67" s="44">
        <f>Table3[[#This Row],[Delivery Time]]-Table3[[#This Row],[Order Time]]</f>
        <v>2.6388888888888906E-2</v>
      </c>
      <c r="L67" s="43">
        <v>38</v>
      </c>
      <c r="M67" s="10" t="s">
        <v>0</v>
      </c>
      <c r="N67" s="14"/>
      <c r="O67" s="14" t="s">
        <v>39</v>
      </c>
      <c r="P67" s="10" t="s">
        <v>20</v>
      </c>
      <c r="Q67" s="10"/>
    </row>
    <row r="68" spans="1:17" x14ac:dyDescent="0.25">
      <c r="A68" s="17">
        <f t="shared" si="0"/>
        <v>67</v>
      </c>
      <c r="B68" s="18">
        <v>42934</v>
      </c>
      <c r="C68" s="18" t="str">
        <f t="shared" si="1"/>
        <v>Tuesday</v>
      </c>
      <c r="D68" s="10" t="str">
        <f t="shared" si="2"/>
        <v>Same</v>
      </c>
      <c r="E68" s="11">
        <v>91.69</v>
      </c>
      <c r="F68" s="11">
        <v>18</v>
      </c>
      <c r="G68" s="12">
        <f t="shared" si="3"/>
        <v>0.19631366561238958</v>
      </c>
      <c r="H68" s="11">
        <v>1.5</v>
      </c>
      <c r="I68" s="13">
        <v>0.83680555555555547</v>
      </c>
      <c r="J68" s="13">
        <v>0.85902777777777783</v>
      </c>
      <c r="K68" s="44">
        <f>Table3[[#This Row],[Delivery Time]]-Table3[[#This Row],[Order Time]]</f>
        <v>2.2222222222222365E-2</v>
      </c>
      <c r="L68" s="43">
        <v>32</v>
      </c>
      <c r="M68" s="10" t="s">
        <v>0</v>
      </c>
      <c r="N68" s="14"/>
      <c r="O68" s="14" t="s">
        <v>39</v>
      </c>
      <c r="P68" s="10" t="s">
        <v>20</v>
      </c>
      <c r="Q68" s="10"/>
    </row>
    <row r="69" spans="1:17" x14ac:dyDescent="0.25">
      <c r="A69" s="17">
        <f t="shared" si="0"/>
        <v>68</v>
      </c>
      <c r="B69" s="18">
        <v>42934</v>
      </c>
      <c r="C69" s="18" t="str">
        <f t="shared" si="1"/>
        <v>Tuesday</v>
      </c>
      <c r="D69" s="10" t="str">
        <f t="shared" si="2"/>
        <v>Same</v>
      </c>
      <c r="E69" s="11">
        <v>28.69</v>
      </c>
      <c r="F69" s="11">
        <v>5</v>
      </c>
      <c r="G69" s="12">
        <f t="shared" si="3"/>
        <v>0.17427675148135238</v>
      </c>
      <c r="H69" s="11">
        <v>1.5</v>
      </c>
      <c r="I69" s="13">
        <v>0.86249999999999993</v>
      </c>
      <c r="J69" s="13">
        <v>0.88541666666666663</v>
      </c>
      <c r="K69" s="44">
        <f>Table3[[#This Row],[Delivery Time]]-Table3[[#This Row],[Order Time]]</f>
        <v>2.2916666666666696E-2</v>
      </c>
      <c r="L69" s="43">
        <v>33</v>
      </c>
      <c r="M69" s="10" t="s">
        <v>0</v>
      </c>
      <c r="N69" s="14"/>
      <c r="O69" s="14" t="s">
        <v>40</v>
      </c>
      <c r="P69" s="10" t="s">
        <v>20</v>
      </c>
      <c r="Q69" s="10"/>
    </row>
    <row r="70" spans="1:17" x14ac:dyDescent="0.25">
      <c r="A70" s="17">
        <f t="shared" ref="A70:A133" si="4">ROW(A69)</f>
        <v>69</v>
      </c>
      <c r="B70" s="18">
        <v>42935</v>
      </c>
      <c r="C70" s="18" t="str">
        <f t="shared" ref="C70:C133" si="5">TEXT(B70,"dddd")</f>
        <v>Wednesday</v>
      </c>
      <c r="D70" s="10" t="str">
        <f t="shared" ref="D70:D133" si="6">IF(B69=B70, "Same", "Different")</f>
        <v>Different</v>
      </c>
      <c r="E70" s="11">
        <v>35.93</v>
      </c>
      <c r="F70" s="11">
        <v>5</v>
      </c>
      <c r="G70" s="12">
        <f t="shared" ref="G70:G133" si="7">F70/E70</f>
        <v>0.13915947676036738</v>
      </c>
      <c r="H70" s="11">
        <v>1.5</v>
      </c>
      <c r="I70" s="13">
        <v>0.72916666666666663</v>
      </c>
      <c r="J70" s="13">
        <v>0.73125000000000007</v>
      </c>
      <c r="K70" s="44">
        <f>Table3[[#This Row],[Delivery Time]]-Table3[[#This Row],[Order Time]]</f>
        <v>2.083333333333437E-3</v>
      </c>
      <c r="L70" s="43">
        <v>3</v>
      </c>
      <c r="M70" s="25" t="s">
        <v>11</v>
      </c>
      <c r="N70" s="14"/>
      <c r="O70" s="14" t="s">
        <v>39</v>
      </c>
      <c r="P70" s="10" t="s">
        <v>16</v>
      </c>
      <c r="Q70" s="10"/>
    </row>
    <row r="71" spans="1:17" x14ac:dyDescent="0.25">
      <c r="A71" s="17">
        <f t="shared" si="4"/>
        <v>70</v>
      </c>
      <c r="B71" s="18">
        <v>42935</v>
      </c>
      <c r="C71" s="18" t="str">
        <f t="shared" si="5"/>
        <v>Wednesday</v>
      </c>
      <c r="D71" s="10" t="str">
        <f t="shared" si="6"/>
        <v>Same</v>
      </c>
      <c r="E71" s="11">
        <v>78.64</v>
      </c>
      <c r="F71" s="11">
        <v>0</v>
      </c>
      <c r="G71" s="12">
        <f t="shared" si="7"/>
        <v>0</v>
      </c>
      <c r="H71" s="11">
        <v>1.5</v>
      </c>
      <c r="I71" s="13">
        <v>0.77222222222222225</v>
      </c>
      <c r="J71" s="13">
        <v>0.78611111111111109</v>
      </c>
      <c r="K71" s="44">
        <f>Table3[[#This Row],[Delivery Time]]-Table3[[#This Row],[Order Time]]</f>
        <v>1.388888888888884E-2</v>
      </c>
      <c r="L71" s="43">
        <v>20</v>
      </c>
      <c r="M71" s="10" t="s">
        <v>0</v>
      </c>
      <c r="N71" s="14"/>
      <c r="O71" s="14" t="s">
        <v>42</v>
      </c>
      <c r="P71" s="10" t="s">
        <v>20</v>
      </c>
      <c r="Q71" s="10"/>
    </row>
    <row r="72" spans="1:17" x14ac:dyDescent="0.25">
      <c r="A72" s="17">
        <f t="shared" si="4"/>
        <v>71</v>
      </c>
      <c r="B72" s="18">
        <v>42935</v>
      </c>
      <c r="C72" s="18" t="str">
        <f t="shared" si="5"/>
        <v>Wednesday</v>
      </c>
      <c r="D72" s="10" t="str">
        <f t="shared" si="6"/>
        <v>Same</v>
      </c>
      <c r="E72" s="11">
        <v>39.94</v>
      </c>
      <c r="F72" s="11">
        <v>10</v>
      </c>
      <c r="G72" s="12">
        <f t="shared" si="7"/>
        <v>0.25037556334501754</v>
      </c>
      <c r="H72" s="11">
        <v>1.5</v>
      </c>
      <c r="I72" s="13">
        <v>0.76944444444444438</v>
      </c>
      <c r="J72" s="13">
        <v>0.79513888888888884</v>
      </c>
      <c r="K72" s="44">
        <f>Table3[[#This Row],[Delivery Time]]-Table3[[#This Row],[Order Time]]</f>
        <v>2.5694444444444464E-2</v>
      </c>
      <c r="L72" s="43">
        <v>37</v>
      </c>
      <c r="M72" s="10" t="s">
        <v>0</v>
      </c>
      <c r="N72" s="14" t="s">
        <v>25</v>
      </c>
      <c r="O72" s="14" t="s">
        <v>39</v>
      </c>
      <c r="P72" s="10" t="s">
        <v>20</v>
      </c>
      <c r="Q72" s="10"/>
    </row>
    <row r="73" spans="1:17" x14ac:dyDescent="0.25">
      <c r="A73" s="17">
        <f t="shared" si="4"/>
        <v>72</v>
      </c>
      <c r="B73" s="18">
        <v>42935</v>
      </c>
      <c r="C73" s="18" t="str">
        <f t="shared" si="5"/>
        <v>Wednesday</v>
      </c>
      <c r="D73" s="10" t="str">
        <f t="shared" si="6"/>
        <v>Same</v>
      </c>
      <c r="E73" s="11">
        <v>54.34</v>
      </c>
      <c r="F73" s="11">
        <v>5</v>
      </c>
      <c r="G73" s="12">
        <f t="shared" si="7"/>
        <v>9.2013249907986747E-2</v>
      </c>
      <c r="H73" s="11">
        <v>1.5</v>
      </c>
      <c r="I73" s="13">
        <v>0.80625000000000002</v>
      </c>
      <c r="J73" s="13">
        <v>0.82361111111111107</v>
      </c>
      <c r="K73" s="44">
        <f>Table3[[#This Row],[Delivery Time]]-Table3[[#This Row],[Order Time]]</f>
        <v>1.7361111111111049E-2</v>
      </c>
      <c r="L73" s="43">
        <v>25</v>
      </c>
      <c r="M73" s="10" t="s">
        <v>0</v>
      </c>
      <c r="N73" s="14"/>
      <c r="O73" s="14" t="s">
        <v>42</v>
      </c>
      <c r="P73" s="10" t="s">
        <v>20</v>
      </c>
      <c r="Q73" s="10"/>
    </row>
    <row r="74" spans="1:17" x14ac:dyDescent="0.25">
      <c r="A74" s="17">
        <f t="shared" si="4"/>
        <v>73</v>
      </c>
      <c r="B74" s="18">
        <v>42935</v>
      </c>
      <c r="C74" s="18" t="str">
        <f t="shared" si="5"/>
        <v>Wednesday</v>
      </c>
      <c r="D74" s="10" t="str">
        <f t="shared" si="6"/>
        <v>Same</v>
      </c>
      <c r="E74" s="11">
        <v>18.350000000000001</v>
      </c>
      <c r="F74" s="11">
        <v>3.35</v>
      </c>
      <c r="G74" s="12">
        <f t="shared" si="7"/>
        <v>0.18256130790190736</v>
      </c>
      <c r="H74" s="11">
        <v>1.5</v>
      </c>
      <c r="I74" s="13">
        <v>0.85486111111111107</v>
      </c>
      <c r="J74" s="13">
        <v>0.87361111111111101</v>
      </c>
      <c r="K74" s="44">
        <f>Table3[[#This Row],[Delivery Time]]-Table3[[#This Row],[Order Time]]</f>
        <v>1.8749999999999933E-2</v>
      </c>
      <c r="L74" s="43">
        <v>26.999999999999996</v>
      </c>
      <c r="M74" s="10" t="s">
        <v>11</v>
      </c>
      <c r="N74" s="14"/>
      <c r="O74" s="14" t="s">
        <v>39</v>
      </c>
      <c r="P74" s="10" t="s">
        <v>20</v>
      </c>
      <c r="Q74" s="10"/>
    </row>
    <row r="75" spans="1:17" x14ac:dyDescent="0.25">
      <c r="A75" s="17">
        <f t="shared" si="4"/>
        <v>74</v>
      </c>
      <c r="B75" s="18">
        <v>42937</v>
      </c>
      <c r="C75" s="18" t="str">
        <f t="shared" si="5"/>
        <v>Friday</v>
      </c>
      <c r="D75" s="10" t="str">
        <f t="shared" si="6"/>
        <v>Different</v>
      </c>
      <c r="E75" s="11">
        <v>27.04</v>
      </c>
      <c r="F75" s="11">
        <v>4.96</v>
      </c>
      <c r="G75" s="12">
        <f t="shared" si="7"/>
        <v>0.18343195266272189</v>
      </c>
      <c r="H75" s="11">
        <v>1.5</v>
      </c>
      <c r="I75" s="13">
        <v>0.52083333333333337</v>
      </c>
      <c r="J75" s="13">
        <v>0.5805555555555556</v>
      </c>
      <c r="K75" s="44">
        <f>Table3[[#This Row],[Delivery Time]]-Table3[[#This Row],[Order Time]]</f>
        <v>5.9722222222222232E-2</v>
      </c>
      <c r="L75" s="43">
        <v>86</v>
      </c>
      <c r="M75" s="10" t="s">
        <v>11</v>
      </c>
      <c r="N75" s="14"/>
      <c r="O75" s="14" t="s">
        <v>42</v>
      </c>
      <c r="P75" s="10" t="s">
        <v>20</v>
      </c>
      <c r="Q75" s="10"/>
    </row>
    <row r="76" spans="1:17" x14ac:dyDescent="0.25">
      <c r="A76" s="17">
        <f t="shared" si="4"/>
        <v>75</v>
      </c>
      <c r="B76" s="18">
        <v>42937</v>
      </c>
      <c r="C76" s="18" t="str">
        <f t="shared" si="5"/>
        <v>Friday</v>
      </c>
      <c r="D76" s="10" t="str">
        <f t="shared" si="6"/>
        <v>Same</v>
      </c>
      <c r="E76" s="11">
        <v>15.69</v>
      </c>
      <c r="F76" s="11">
        <v>2</v>
      </c>
      <c r="G76" s="12">
        <f t="shared" si="7"/>
        <v>0.12746972594008923</v>
      </c>
      <c r="H76" s="11">
        <v>1.5</v>
      </c>
      <c r="I76" s="13">
        <v>0.55347222222222225</v>
      </c>
      <c r="J76" s="13">
        <v>0.58888888888888891</v>
      </c>
      <c r="K76" s="44">
        <f>Table3[[#This Row],[Delivery Time]]-Table3[[#This Row],[Order Time]]</f>
        <v>3.5416666666666652E-2</v>
      </c>
      <c r="L76" s="43">
        <v>51</v>
      </c>
      <c r="M76" s="10" t="s">
        <v>11</v>
      </c>
      <c r="N76" s="14"/>
      <c r="O76" s="14" t="s">
        <v>39</v>
      </c>
      <c r="P76" s="10" t="s">
        <v>20</v>
      </c>
      <c r="Q76" s="10"/>
    </row>
    <row r="77" spans="1:17" x14ac:dyDescent="0.25">
      <c r="A77" s="17">
        <f t="shared" si="4"/>
        <v>76</v>
      </c>
      <c r="B77" s="18">
        <v>42937</v>
      </c>
      <c r="C77" s="18" t="str">
        <f t="shared" si="5"/>
        <v>Friday</v>
      </c>
      <c r="D77" s="10" t="str">
        <f t="shared" si="6"/>
        <v>Same</v>
      </c>
      <c r="E77" s="11">
        <v>22.54</v>
      </c>
      <c r="F77" s="11">
        <v>5</v>
      </c>
      <c r="G77" s="12">
        <f t="shared" si="7"/>
        <v>0.22182786157941439</v>
      </c>
      <c r="H77" s="11">
        <v>5</v>
      </c>
      <c r="I77" s="13">
        <v>0.72638888888888886</v>
      </c>
      <c r="J77" s="13">
        <v>0.75</v>
      </c>
      <c r="K77" s="44">
        <f>Table3[[#This Row],[Delivery Time]]-Table3[[#This Row],[Order Time]]</f>
        <v>2.3611111111111138E-2</v>
      </c>
      <c r="L77" s="43">
        <v>34</v>
      </c>
      <c r="M77" s="10" t="s">
        <v>0</v>
      </c>
      <c r="N77" s="14"/>
      <c r="O77" s="14" t="s">
        <v>39</v>
      </c>
      <c r="P77" s="10" t="s">
        <v>20</v>
      </c>
      <c r="Q77" s="10"/>
    </row>
    <row r="78" spans="1:17" x14ac:dyDescent="0.25">
      <c r="A78" s="17">
        <f t="shared" si="4"/>
        <v>77</v>
      </c>
      <c r="B78" s="18">
        <v>42937</v>
      </c>
      <c r="C78" s="18" t="str">
        <f t="shared" si="5"/>
        <v>Friday</v>
      </c>
      <c r="D78" s="10" t="str">
        <f t="shared" si="6"/>
        <v>Same</v>
      </c>
      <c r="E78" s="11">
        <v>22.19</v>
      </c>
      <c r="F78" s="11">
        <v>9.81</v>
      </c>
      <c r="G78" s="12">
        <f t="shared" si="7"/>
        <v>0.44209103199639477</v>
      </c>
      <c r="H78" s="11">
        <v>1.5</v>
      </c>
      <c r="I78" s="13">
        <v>0.76944444444444438</v>
      </c>
      <c r="J78" s="13">
        <v>0.78611111111111109</v>
      </c>
      <c r="K78" s="44">
        <f>Table3[[#This Row],[Delivery Time]]-Table3[[#This Row],[Order Time]]</f>
        <v>1.6666666666666718E-2</v>
      </c>
      <c r="L78" s="43">
        <v>24</v>
      </c>
      <c r="M78" s="10" t="s">
        <v>11</v>
      </c>
      <c r="N78" s="14"/>
      <c r="O78" s="14" t="s">
        <v>39</v>
      </c>
      <c r="P78" s="10" t="s">
        <v>20</v>
      </c>
      <c r="Q78" s="10"/>
    </row>
    <row r="79" spans="1:17" x14ac:dyDescent="0.25">
      <c r="A79" s="17">
        <f t="shared" si="4"/>
        <v>78</v>
      </c>
      <c r="B79" s="18">
        <v>42937</v>
      </c>
      <c r="C79" s="18" t="str">
        <f t="shared" si="5"/>
        <v>Friday</v>
      </c>
      <c r="D79" s="10" t="str">
        <f t="shared" si="6"/>
        <v>Same</v>
      </c>
      <c r="E79" s="11">
        <v>33.229999999999997</v>
      </c>
      <c r="F79" s="11">
        <v>5</v>
      </c>
      <c r="G79" s="12">
        <f t="shared" si="7"/>
        <v>0.15046644598254591</v>
      </c>
      <c r="H79" s="11">
        <v>1.5</v>
      </c>
      <c r="I79" s="13">
        <v>0.78541666666666676</v>
      </c>
      <c r="J79" s="13">
        <v>0.8027777777777777</v>
      </c>
      <c r="K79" s="44">
        <f>Table3[[#This Row],[Delivery Time]]-Table3[[#This Row],[Order Time]]</f>
        <v>1.7361111111110938E-2</v>
      </c>
      <c r="L79" s="43">
        <v>25</v>
      </c>
      <c r="M79" s="10" t="s">
        <v>0</v>
      </c>
      <c r="N79" s="14"/>
      <c r="O79" s="14" t="s">
        <v>40</v>
      </c>
      <c r="P79" s="10" t="s">
        <v>20</v>
      </c>
      <c r="Q79" s="10"/>
    </row>
    <row r="80" spans="1:17" x14ac:dyDescent="0.25">
      <c r="A80" s="17">
        <f t="shared" si="4"/>
        <v>79</v>
      </c>
      <c r="B80" s="18">
        <v>42937</v>
      </c>
      <c r="C80" s="18" t="str">
        <f t="shared" si="5"/>
        <v>Friday</v>
      </c>
      <c r="D80" s="10" t="str">
        <f t="shared" si="6"/>
        <v>Same</v>
      </c>
      <c r="E80" s="11">
        <v>38.65</v>
      </c>
      <c r="F80" s="11">
        <v>6</v>
      </c>
      <c r="G80" s="12">
        <f t="shared" si="7"/>
        <v>0.1552393272962484</v>
      </c>
      <c r="H80" s="11">
        <v>1.5</v>
      </c>
      <c r="I80" s="13">
        <v>0.81666666666666676</v>
      </c>
      <c r="J80" s="13">
        <v>0.83333333333333337</v>
      </c>
      <c r="K80" s="44">
        <f>Table3[[#This Row],[Delivery Time]]-Table3[[#This Row],[Order Time]]</f>
        <v>1.6666666666666607E-2</v>
      </c>
      <c r="L80" s="43">
        <v>24</v>
      </c>
      <c r="M80" s="10" t="s">
        <v>11</v>
      </c>
      <c r="N80" s="14"/>
      <c r="O80" s="14" t="s">
        <v>39</v>
      </c>
      <c r="P80" s="10" t="s">
        <v>20</v>
      </c>
      <c r="Q80" s="10"/>
    </row>
    <row r="81" spans="1:17" x14ac:dyDescent="0.25">
      <c r="A81" s="17">
        <f t="shared" si="4"/>
        <v>80</v>
      </c>
      <c r="B81" s="18">
        <v>42937</v>
      </c>
      <c r="C81" s="18" t="str">
        <f t="shared" si="5"/>
        <v>Friday</v>
      </c>
      <c r="D81" s="10" t="str">
        <f t="shared" si="6"/>
        <v>Same</v>
      </c>
      <c r="E81" s="11">
        <v>96.72</v>
      </c>
      <c r="F81" s="11">
        <v>10</v>
      </c>
      <c r="G81" s="12">
        <f t="shared" si="7"/>
        <v>0.10339123242349049</v>
      </c>
      <c r="H81" s="11">
        <v>1.5</v>
      </c>
      <c r="I81" s="13">
        <v>0.81805555555555554</v>
      </c>
      <c r="J81" s="13">
        <v>0.8354166666666667</v>
      </c>
      <c r="K81" s="44">
        <f>Table3[[#This Row],[Delivery Time]]-Table3[[#This Row],[Order Time]]</f>
        <v>1.736111111111116E-2</v>
      </c>
      <c r="L81" s="43">
        <v>25</v>
      </c>
      <c r="M81" s="10" t="s">
        <v>11</v>
      </c>
      <c r="N81" s="14"/>
      <c r="O81" s="14" t="s">
        <v>39</v>
      </c>
      <c r="P81" s="10" t="s">
        <v>20</v>
      </c>
      <c r="Q81" s="10"/>
    </row>
    <row r="82" spans="1:17" x14ac:dyDescent="0.25">
      <c r="A82" s="17">
        <f t="shared" si="4"/>
        <v>81</v>
      </c>
      <c r="B82" s="18">
        <v>42937</v>
      </c>
      <c r="C82" s="18" t="str">
        <f t="shared" si="5"/>
        <v>Friday</v>
      </c>
      <c r="D82" s="10" t="str">
        <f t="shared" si="6"/>
        <v>Same</v>
      </c>
      <c r="E82" s="11">
        <v>33.72</v>
      </c>
      <c r="F82" s="11">
        <v>7</v>
      </c>
      <c r="G82" s="12">
        <f t="shared" si="7"/>
        <v>0.20759193357058126</v>
      </c>
      <c r="H82" s="11">
        <v>1.5</v>
      </c>
      <c r="I82" s="13">
        <v>0.84513888888888899</v>
      </c>
      <c r="J82" s="13">
        <v>0.87291666666666667</v>
      </c>
      <c r="K82" s="44">
        <f>Table3[[#This Row],[Delivery Time]]-Table3[[#This Row],[Order Time]]</f>
        <v>2.7777777777777679E-2</v>
      </c>
      <c r="L82" s="43">
        <v>40</v>
      </c>
      <c r="M82" s="10" t="s">
        <v>0</v>
      </c>
      <c r="N82" s="14"/>
      <c r="O82" s="14" t="s">
        <v>40</v>
      </c>
      <c r="P82" s="10" t="s">
        <v>20</v>
      </c>
      <c r="Q82" s="10"/>
    </row>
    <row r="83" spans="1:17" x14ac:dyDescent="0.25">
      <c r="A83" s="17">
        <f t="shared" si="4"/>
        <v>82</v>
      </c>
      <c r="B83" s="18">
        <v>42937</v>
      </c>
      <c r="C83" s="18" t="str">
        <f t="shared" si="5"/>
        <v>Friday</v>
      </c>
      <c r="D83" s="10" t="str">
        <f t="shared" si="6"/>
        <v>Same</v>
      </c>
      <c r="E83" s="11">
        <v>34.32</v>
      </c>
      <c r="F83" s="11">
        <v>8</v>
      </c>
      <c r="G83" s="12">
        <f t="shared" si="7"/>
        <v>0.23310023310023309</v>
      </c>
      <c r="H83" s="11">
        <v>1.5</v>
      </c>
      <c r="I83" s="13">
        <v>0.84791666666666676</v>
      </c>
      <c r="J83" s="13">
        <v>0.88124999999999998</v>
      </c>
      <c r="K83" s="44">
        <f>Table3[[#This Row],[Delivery Time]]-Table3[[#This Row],[Order Time]]</f>
        <v>3.3333333333333215E-2</v>
      </c>
      <c r="L83" s="43">
        <v>48</v>
      </c>
      <c r="M83" s="10" t="s">
        <v>0</v>
      </c>
      <c r="N83" s="14"/>
      <c r="O83" s="14" t="s">
        <v>39</v>
      </c>
      <c r="P83" s="10" t="s">
        <v>20</v>
      </c>
      <c r="Q83" s="10"/>
    </row>
    <row r="84" spans="1:17" x14ac:dyDescent="0.25">
      <c r="A84" s="17">
        <f t="shared" si="4"/>
        <v>83</v>
      </c>
      <c r="B84" s="18">
        <v>42937</v>
      </c>
      <c r="C84" s="18" t="str">
        <f t="shared" si="5"/>
        <v>Friday</v>
      </c>
      <c r="D84" s="10" t="str">
        <f t="shared" si="6"/>
        <v>Same</v>
      </c>
      <c r="E84" s="11">
        <v>37.89</v>
      </c>
      <c r="F84" s="11">
        <v>5</v>
      </c>
      <c r="G84" s="12">
        <f t="shared" si="7"/>
        <v>0.13196093956188967</v>
      </c>
      <c r="H84" s="11">
        <v>1.5</v>
      </c>
      <c r="I84" s="13">
        <v>0.85138888888888886</v>
      </c>
      <c r="J84" s="13">
        <v>0.88611111111111107</v>
      </c>
      <c r="K84" s="44">
        <f>Table3[[#This Row],[Delivery Time]]-Table3[[#This Row],[Order Time]]</f>
        <v>3.472222222222221E-2</v>
      </c>
      <c r="L84" s="43">
        <v>50</v>
      </c>
      <c r="M84" s="10" t="s">
        <v>0</v>
      </c>
      <c r="N84" s="14"/>
      <c r="O84" s="14" t="s">
        <v>39</v>
      </c>
      <c r="P84" s="10" t="s">
        <v>20</v>
      </c>
      <c r="Q84" s="10"/>
    </row>
    <row r="85" spans="1:17" x14ac:dyDescent="0.25">
      <c r="A85" s="17">
        <f t="shared" si="4"/>
        <v>84</v>
      </c>
      <c r="B85" s="18">
        <v>42946</v>
      </c>
      <c r="C85" s="18" t="str">
        <f t="shared" si="5"/>
        <v>Sunday</v>
      </c>
      <c r="D85" s="10" t="str">
        <f t="shared" si="6"/>
        <v>Different</v>
      </c>
      <c r="E85" s="11">
        <v>24.36</v>
      </c>
      <c r="F85" s="11">
        <v>5</v>
      </c>
      <c r="G85" s="12">
        <f t="shared" si="7"/>
        <v>0.20525451559934318</v>
      </c>
      <c r="H85" s="11">
        <v>1.5</v>
      </c>
      <c r="I85" s="13">
        <v>0.69374999999999998</v>
      </c>
      <c r="J85" s="13">
        <v>0.71805555555555556</v>
      </c>
      <c r="K85" s="44">
        <f>Table3[[#This Row],[Delivery Time]]-Table3[[#This Row],[Order Time]]</f>
        <v>2.430555555555558E-2</v>
      </c>
      <c r="L85" s="43">
        <v>35</v>
      </c>
      <c r="M85" s="10" t="s">
        <v>12</v>
      </c>
      <c r="N85" s="14"/>
      <c r="O85" s="14" t="s">
        <v>39</v>
      </c>
      <c r="P85" s="10" t="s">
        <v>20</v>
      </c>
      <c r="Q85" s="10"/>
    </row>
    <row r="86" spans="1:17" x14ac:dyDescent="0.25">
      <c r="A86" s="17">
        <f t="shared" si="4"/>
        <v>85</v>
      </c>
      <c r="B86" s="18">
        <v>42946</v>
      </c>
      <c r="C86" s="18" t="str">
        <f t="shared" si="5"/>
        <v>Sunday</v>
      </c>
      <c r="D86" s="10" t="str">
        <f t="shared" si="6"/>
        <v>Same</v>
      </c>
      <c r="E86" s="11">
        <v>76.48</v>
      </c>
      <c r="F86" s="11">
        <v>5</v>
      </c>
      <c r="G86" s="12">
        <f t="shared" si="7"/>
        <v>6.5376569037656901E-2</v>
      </c>
      <c r="H86" s="11">
        <v>5</v>
      </c>
      <c r="I86" s="13">
        <v>0.72569444444444453</v>
      </c>
      <c r="J86" s="13">
        <v>0.75277777777777777</v>
      </c>
      <c r="K86" s="44">
        <f>Table3[[#This Row],[Delivery Time]]-Table3[[#This Row],[Order Time]]</f>
        <v>2.7083333333333237E-2</v>
      </c>
      <c r="L86" s="43">
        <v>39</v>
      </c>
      <c r="M86" s="10" t="s">
        <v>0</v>
      </c>
      <c r="N86" s="14"/>
      <c r="O86" s="14" t="s">
        <v>39</v>
      </c>
      <c r="P86" s="10" t="s">
        <v>20</v>
      </c>
      <c r="Q86" s="10"/>
    </row>
    <row r="87" spans="1:17" x14ac:dyDescent="0.25">
      <c r="A87" s="17">
        <f t="shared" si="4"/>
        <v>86</v>
      </c>
      <c r="B87" s="18">
        <v>42946</v>
      </c>
      <c r="C87" s="18" t="str">
        <f t="shared" si="5"/>
        <v>Sunday</v>
      </c>
      <c r="D87" s="10" t="str">
        <f t="shared" si="6"/>
        <v>Same</v>
      </c>
      <c r="E87" s="11">
        <v>30.53</v>
      </c>
      <c r="F87" s="11">
        <v>6</v>
      </c>
      <c r="G87" s="12">
        <f t="shared" si="7"/>
        <v>0.19652800524074679</v>
      </c>
      <c r="H87" s="11">
        <v>1.5</v>
      </c>
      <c r="I87" s="13">
        <v>0.7284722222222223</v>
      </c>
      <c r="J87" s="13">
        <v>0.7631944444444444</v>
      </c>
      <c r="K87" s="44">
        <f>Table3[[#This Row],[Delivery Time]]-Table3[[#This Row],[Order Time]]</f>
        <v>3.4722222222222099E-2</v>
      </c>
      <c r="L87" s="43">
        <v>50</v>
      </c>
      <c r="M87" s="10" t="s">
        <v>0</v>
      </c>
      <c r="N87" s="14"/>
      <c r="O87" s="14" t="s">
        <v>39</v>
      </c>
      <c r="P87" s="10" t="s">
        <v>20</v>
      </c>
      <c r="Q87" s="10"/>
    </row>
    <row r="88" spans="1:17" x14ac:dyDescent="0.25">
      <c r="A88" s="17">
        <f t="shared" si="4"/>
        <v>87</v>
      </c>
      <c r="B88" s="18">
        <v>42946</v>
      </c>
      <c r="C88" s="18" t="str">
        <f t="shared" si="5"/>
        <v>Sunday</v>
      </c>
      <c r="D88" s="10" t="str">
        <f t="shared" si="6"/>
        <v>Same</v>
      </c>
      <c r="E88" s="11">
        <v>38.1</v>
      </c>
      <c r="F88" s="11">
        <v>5.9</v>
      </c>
      <c r="G88" s="12">
        <f t="shared" si="7"/>
        <v>0.15485564304461943</v>
      </c>
      <c r="H88" s="11">
        <v>1.5</v>
      </c>
      <c r="I88" s="13">
        <v>0.75902777777777775</v>
      </c>
      <c r="J88" s="13">
        <v>0.78125</v>
      </c>
      <c r="K88" s="44">
        <f>Table3[[#This Row],[Delivery Time]]-Table3[[#This Row],[Order Time]]</f>
        <v>2.2222222222222254E-2</v>
      </c>
      <c r="L88" s="43">
        <v>32</v>
      </c>
      <c r="M88" s="10" t="s">
        <v>11</v>
      </c>
      <c r="N88" s="14"/>
      <c r="O88" s="14" t="s">
        <v>39</v>
      </c>
      <c r="P88" s="10" t="s">
        <v>20</v>
      </c>
      <c r="Q88" s="10"/>
    </row>
    <row r="89" spans="1:17" x14ac:dyDescent="0.25">
      <c r="A89" s="17">
        <f t="shared" si="4"/>
        <v>88</v>
      </c>
      <c r="B89" s="18">
        <v>42946</v>
      </c>
      <c r="C89" s="18" t="str">
        <f t="shared" si="5"/>
        <v>Sunday</v>
      </c>
      <c r="D89" s="10" t="str">
        <f t="shared" si="6"/>
        <v>Same</v>
      </c>
      <c r="E89" s="11">
        <v>57.32</v>
      </c>
      <c r="F89" s="11">
        <v>12</v>
      </c>
      <c r="G89" s="12">
        <f t="shared" si="7"/>
        <v>0.209351011863224</v>
      </c>
      <c r="H89" s="11">
        <v>1.5</v>
      </c>
      <c r="I89" s="13">
        <v>0.78611111111111109</v>
      </c>
      <c r="J89" s="13">
        <v>0.81527777777777777</v>
      </c>
      <c r="K89" s="44">
        <f>Table3[[#This Row],[Delivery Time]]-Table3[[#This Row],[Order Time]]</f>
        <v>2.9166666666666674E-2</v>
      </c>
      <c r="L89" s="43">
        <v>42</v>
      </c>
      <c r="M89" s="10" t="s">
        <v>11</v>
      </c>
      <c r="N89" s="14"/>
      <c r="O89" s="14" t="s">
        <v>39</v>
      </c>
      <c r="P89" s="10" t="s">
        <v>20</v>
      </c>
      <c r="Q89" s="10"/>
    </row>
    <row r="90" spans="1:17" x14ac:dyDescent="0.25">
      <c r="A90" s="17">
        <f t="shared" si="4"/>
        <v>89</v>
      </c>
      <c r="B90" s="18">
        <v>42946</v>
      </c>
      <c r="C90" s="18" t="str">
        <f t="shared" si="5"/>
        <v>Sunday</v>
      </c>
      <c r="D90" s="10" t="str">
        <f t="shared" si="6"/>
        <v>Same</v>
      </c>
      <c r="E90" s="11">
        <v>89.79</v>
      </c>
      <c r="F90" s="11">
        <v>10</v>
      </c>
      <c r="G90" s="12">
        <f t="shared" si="7"/>
        <v>0.11137097672346585</v>
      </c>
      <c r="H90" s="11">
        <v>1.5</v>
      </c>
      <c r="I90" s="13">
        <v>0.7895833333333333</v>
      </c>
      <c r="J90" s="13">
        <v>0.82361111111111107</v>
      </c>
      <c r="K90" s="44">
        <f>Table3[[#This Row],[Delivery Time]]-Table3[[#This Row],[Order Time]]</f>
        <v>3.4027777777777768E-2</v>
      </c>
      <c r="L90" s="43">
        <v>49</v>
      </c>
      <c r="M90" s="10" t="s">
        <v>11</v>
      </c>
      <c r="N90" s="14"/>
      <c r="O90" s="14" t="s">
        <v>41</v>
      </c>
      <c r="P90" s="10" t="s">
        <v>20</v>
      </c>
      <c r="Q90" s="10"/>
    </row>
    <row r="91" spans="1:17" x14ac:dyDescent="0.25">
      <c r="A91" s="17">
        <f t="shared" si="4"/>
        <v>90</v>
      </c>
      <c r="B91" s="18">
        <v>42946</v>
      </c>
      <c r="C91" s="18" t="str">
        <f t="shared" si="5"/>
        <v>Sunday</v>
      </c>
      <c r="D91" s="10" t="str">
        <f t="shared" si="6"/>
        <v>Same</v>
      </c>
      <c r="E91" s="11">
        <v>89.2</v>
      </c>
      <c r="F91" s="11">
        <v>15</v>
      </c>
      <c r="G91" s="12">
        <f t="shared" si="7"/>
        <v>0.16816143497757846</v>
      </c>
      <c r="H91" s="11">
        <v>1.5</v>
      </c>
      <c r="I91" s="13">
        <v>0.82500000000000007</v>
      </c>
      <c r="J91" s="13">
        <v>0.84513888888888899</v>
      </c>
      <c r="K91" s="44">
        <f>Table3[[#This Row],[Delivery Time]]-Table3[[#This Row],[Order Time]]</f>
        <v>2.0138888888888928E-2</v>
      </c>
      <c r="L91" s="43">
        <v>29.000000000000004</v>
      </c>
      <c r="M91" s="10" t="s">
        <v>36</v>
      </c>
      <c r="N91" s="14"/>
      <c r="O91" s="14" t="s">
        <v>39</v>
      </c>
      <c r="P91" s="10" t="s">
        <v>20</v>
      </c>
      <c r="Q91" s="10"/>
    </row>
    <row r="92" spans="1:17" x14ac:dyDescent="0.25">
      <c r="A92" s="17">
        <f t="shared" si="4"/>
        <v>91</v>
      </c>
      <c r="B92" s="18">
        <v>42946</v>
      </c>
      <c r="C92" s="18" t="str">
        <f t="shared" si="5"/>
        <v>Sunday</v>
      </c>
      <c r="D92" s="10" t="str">
        <f t="shared" si="6"/>
        <v>Same</v>
      </c>
      <c r="E92" s="11">
        <v>36.97</v>
      </c>
      <c r="F92" s="11">
        <v>6</v>
      </c>
      <c r="G92" s="12">
        <f t="shared" si="7"/>
        <v>0.16229375169055993</v>
      </c>
      <c r="H92" s="11">
        <v>1.5</v>
      </c>
      <c r="I92" s="13">
        <v>0.8930555555555556</v>
      </c>
      <c r="J92" s="13">
        <v>0.92013888888888884</v>
      </c>
      <c r="K92" s="44">
        <f>Table3[[#This Row],[Delivery Time]]-Table3[[#This Row],[Order Time]]</f>
        <v>2.7083333333333237E-2</v>
      </c>
      <c r="L92" s="43">
        <v>39</v>
      </c>
      <c r="M92" s="10" t="s">
        <v>11</v>
      </c>
      <c r="N92" s="14"/>
      <c r="O92" s="14" t="s">
        <v>41</v>
      </c>
      <c r="P92" s="10" t="s">
        <v>20</v>
      </c>
      <c r="Q92" s="10"/>
    </row>
    <row r="93" spans="1:17" x14ac:dyDescent="0.25">
      <c r="A93" s="17">
        <f t="shared" si="4"/>
        <v>92</v>
      </c>
      <c r="B93" s="18">
        <v>42947</v>
      </c>
      <c r="C93" s="18" t="str">
        <f t="shared" si="5"/>
        <v>Monday</v>
      </c>
      <c r="D93" s="10" t="str">
        <f t="shared" si="6"/>
        <v>Different</v>
      </c>
      <c r="E93" s="11">
        <v>27.07</v>
      </c>
      <c r="F93" s="11">
        <v>5</v>
      </c>
      <c r="G93" s="12">
        <f t="shared" si="7"/>
        <v>0.1847063169560399</v>
      </c>
      <c r="H93" s="11">
        <v>1.5</v>
      </c>
      <c r="I93" s="13">
        <v>0.71250000000000002</v>
      </c>
      <c r="J93" s="13">
        <v>0.73055555555555562</v>
      </c>
      <c r="K93" s="44">
        <f>Table3[[#This Row],[Delivery Time]]-Table3[[#This Row],[Order Time]]</f>
        <v>1.8055555555555602E-2</v>
      </c>
      <c r="L93" s="43">
        <v>26</v>
      </c>
      <c r="M93" s="10" t="s">
        <v>11</v>
      </c>
      <c r="N93" s="14"/>
      <c r="O93" s="14" t="s">
        <v>39</v>
      </c>
      <c r="P93" s="10" t="s">
        <v>20</v>
      </c>
      <c r="Q93" s="10"/>
    </row>
    <row r="94" spans="1:17" x14ac:dyDescent="0.25">
      <c r="A94" s="17">
        <f t="shared" si="4"/>
        <v>93</v>
      </c>
      <c r="B94" s="18">
        <v>42947</v>
      </c>
      <c r="C94" s="18" t="str">
        <f t="shared" si="5"/>
        <v>Monday</v>
      </c>
      <c r="D94" s="10" t="str">
        <f t="shared" si="6"/>
        <v>Same</v>
      </c>
      <c r="E94" s="11">
        <v>38.32</v>
      </c>
      <c r="F94" s="11">
        <v>5</v>
      </c>
      <c r="G94" s="12">
        <f t="shared" si="7"/>
        <v>0.13048016701461379</v>
      </c>
      <c r="H94" s="11">
        <v>1.5</v>
      </c>
      <c r="I94" s="13">
        <v>0.75</v>
      </c>
      <c r="J94" s="13">
        <v>0.76388888888888884</v>
      </c>
      <c r="K94" s="44">
        <f>Table3[[#This Row],[Delivery Time]]-Table3[[#This Row],[Order Time]]</f>
        <v>1.388888888888884E-2</v>
      </c>
      <c r="L94" s="43">
        <v>20</v>
      </c>
      <c r="M94" s="10" t="s">
        <v>11</v>
      </c>
      <c r="N94" s="14"/>
      <c r="O94" s="14" t="s">
        <v>39</v>
      </c>
      <c r="P94" s="10" t="s">
        <v>20</v>
      </c>
      <c r="Q94" s="10"/>
    </row>
    <row r="95" spans="1:17" x14ac:dyDescent="0.25">
      <c r="A95" s="17">
        <f t="shared" si="4"/>
        <v>94</v>
      </c>
      <c r="B95" s="18">
        <v>42947</v>
      </c>
      <c r="C95" s="18" t="str">
        <f t="shared" si="5"/>
        <v>Monday</v>
      </c>
      <c r="D95" s="10" t="str">
        <f t="shared" si="6"/>
        <v>Same</v>
      </c>
      <c r="E95" s="11">
        <v>60.46</v>
      </c>
      <c r="F95" s="11">
        <v>5</v>
      </c>
      <c r="G95" s="12">
        <f t="shared" si="7"/>
        <v>8.2699305325835262E-2</v>
      </c>
      <c r="H95" s="11">
        <v>1.5</v>
      </c>
      <c r="I95" s="13">
        <v>0.79166666666666663</v>
      </c>
      <c r="J95" s="13">
        <v>0.80833333333333324</v>
      </c>
      <c r="K95" s="44">
        <f>Table3[[#This Row],[Delivery Time]]-Table3[[#This Row],[Order Time]]</f>
        <v>1.6666666666666607E-2</v>
      </c>
      <c r="L95" s="43">
        <v>24</v>
      </c>
      <c r="M95" s="10" t="s">
        <v>0</v>
      </c>
      <c r="N95" s="14"/>
      <c r="O95" s="14" t="s">
        <v>39</v>
      </c>
      <c r="P95" s="10" t="s">
        <v>20</v>
      </c>
      <c r="Q95" s="10"/>
    </row>
    <row r="96" spans="1:17" x14ac:dyDescent="0.25">
      <c r="A96" s="17">
        <f t="shared" si="4"/>
        <v>95</v>
      </c>
      <c r="B96" s="18">
        <v>42947</v>
      </c>
      <c r="C96" s="18" t="str">
        <f t="shared" si="5"/>
        <v>Monday</v>
      </c>
      <c r="D96" s="10" t="str">
        <f t="shared" si="6"/>
        <v>Same</v>
      </c>
      <c r="E96" s="11">
        <v>28.69</v>
      </c>
      <c r="F96" s="11">
        <v>21.31</v>
      </c>
      <c r="G96" s="12">
        <f t="shared" si="7"/>
        <v>0.74276751481352377</v>
      </c>
      <c r="H96" s="11">
        <v>1.5</v>
      </c>
      <c r="I96" s="13">
        <v>0.82777777777777783</v>
      </c>
      <c r="J96" s="13">
        <v>0.84444444444444444</v>
      </c>
      <c r="K96" s="44">
        <f>Table3[[#This Row],[Delivery Time]]-Table3[[#This Row],[Order Time]]</f>
        <v>1.6666666666666607E-2</v>
      </c>
      <c r="L96" s="43">
        <v>24</v>
      </c>
      <c r="M96" s="10" t="s">
        <v>0</v>
      </c>
      <c r="N96" s="14"/>
      <c r="O96" s="14" t="s">
        <v>39</v>
      </c>
      <c r="P96" s="10" t="s">
        <v>20</v>
      </c>
      <c r="Q96" s="10"/>
    </row>
    <row r="97" spans="1:17" x14ac:dyDescent="0.25">
      <c r="A97" s="17">
        <f t="shared" si="4"/>
        <v>96</v>
      </c>
      <c r="B97" s="18">
        <v>42947</v>
      </c>
      <c r="C97" s="18" t="str">
        <f t="shared" si="5"/>
        <v>Monday</v>
      </c>
      <c r="D97" s="10" t="str">
        <f t="shared" si="6"/>
        <v>Same</v>
      </c>
      <c r="E97" s="11">
        <v>32.96</v>
      </c>
      <c r="F97" s="11">
        <v>7</v>
      </c>
      <c r="G97" s="12">
        <f t="shared" si="7"/>
        <v>0.21237864077669902</v>
      </c>
      <c r="H97" s="11">
        <v>1.5</v>
      </c>
      <c r="I97" s="13">
        <v>0.84791666666666676</v>
      </c>
      <c r="J97" s="13">
        <v>0.8618055555555556</v>
      </c>
      <c r="K97" s="44">
        <f>Table3[[#This Row],[Delivery Time]]-Table3[[#This Row],[Order Time]]</f>
        <v>1.388888888888884E-2</v>
      </c>
      <c r="L97" s="43">
        <v>20</v>
      </c>
      <c r="M97" s="10" t="s">
        <v>11</v>
      </c>
      <c r="N97" s="14"/>
      <c r="O97" s="14" t="s">
        <v>39</v>
      </c>
      <c r="P97" s="10" t="s">
        <v>20</v>
      </c>
      <c r="Q97" s="10"/>
    </row>
    <row r="98" spans="1:17" x14ac:dyDescent="0.25">
      <c r="A98" s="17">
        <f t="shared" si="4"/>
        <v>97</v>
      </c>
      <c r="B98" s="18">
        <v>42947</v>
      </c>
      <c r="C98" s="18" t="str">
        <f t="shared" si="5"/>
        <v>Monday</v>
      </c>
      <c r="D98" s="10" t="str">
        <f t="shared" si="6"/>
        <v>Same</v>
      </c>
      <c r="E98" s="11">
        <v>48.6</v>
      </c>
      <c r="F98" s="11">
        <v>10</v>
      </c>
      <c r="G98" s="12">
        <f t="shared" si="7"/>
        <v>0.20576131687242799</v>
      </c>
      <c r="H98" s="11">
        <v>1.5</v>
      </c>
      <c r="I98" s="13">
        <v>0.89444444444444438</v>
      </c>
      <c r="J98" s="13">
        <v>0.90972222222222221</v>
      </c>
      <c r="K98" s="44">
        <f>Table3[[#This Row],[Delivery Time]]-Table3[[#This Row],[Order Time]]</f>
        <v>1.5277777777777835E-2</v>
      </c>
      <c r="L98" s="43">
        <v>22</v>
      </c>
      <c r="M98" s="10" t="s">
        <v>0</v>
      </c>
      <c r="N98" s="14"/>
      <c r="O98" s="14" t="s">
        <v>40</v>
      </c>
      <c r="P98" s="10" t="s">
        <v>20</v>
      </c>
      <c r="Q98" s="10"/>
    </row>
    <row r="99" spans="1:17" x14ac:dyDescent="0.25">
      <c r="A99" s="17">
        <f t="shared" si="4"/>
        <v>98</v>
      </c>
      <c r="B99" s="18">
        <v>42949</v>
      </c>
      <c r="C99" s="18" t="str">
        <f t="shared" si="5"/>
        <v>Wednesday</v>
      </c>
      <c r="D99" s="10" t="str">
        <f t="shared" si="6"/>
        <v>Different</v>
      </c>
      <c r="E99" s="11">
        <v>39.729999999999997</v>
      </c>
      <c r="F99" s="11">
        <v>6</v>
      </c>
      <c r="G99" s="12">
        <f t="shared" si="7"/>
        <v>0.15101938082053865</v>
      </c>
      <c r="H99" s="11">
        <v>7</v>
      </c>
      <c r="I99" s="13">
        <v>0.70277777777777783</v>
      </c>
      <c r="J99" s="13">
        <v>0.72291666666666676</v>
      </c>
      <c r="K99" s="44">
        <f>Table3[[#This Row],[Delivery Time]]-Table3[[#This Row],[Order Time]]</f>
        <v>2.0138888888888928E-2</v>
      </c>
      <c r="L99" s="43">
        <v>29.000000000000004</v>
      </c>
      <c r="M99" s="10" t="s">
        <v>0</v>
      </c>
      <c r="N99" s="14"/>
      <c r="O99" s="14" t="s">
        <v>39</v>
      </c>
      <c r="P99" s="10" t="s">
        <v>20</v>
      </c>
      <c r="Q99" s="10"/>
    </row>
    <row r="100" spans="1:17" x14ac:dyDescent="0.25">
      <c r="A100" s="17">
        <f t="shared" si="4"/>
        <v>99</v>
      </c>
      <c r="B100" s="18">
        <v>42949</v>
      </c>
      <c r="C100" s="18" t="str">
        <f t="shared" si="5"/>
        <v>Wednesday</v>
      </c>
      <c r="D100" s="10" t="str">
        <f t="shared" si="6"/>
        <v>Same</v>
      </c>
      <c r="E100" s="11">
        <v>234.36</v>
      </c>
      <c r="F100" s="11">
        <v>32.47</v>
      </c>
      <c r="G100" s="12">
        <f t="shared" si="7"/>
        <v>0.13854753370882403</v>
      </c>
      <c r="H100" s="11">
        <v>1.5</v>
      </c>
      <c r="I100" s="13">
        <v>0.75</v>
      </c>
      <c r="J100" s="13">
        <v>0.75277777777777777</v>
      </c>
      <c r="K100" s="44">
        <f>Table3[[#This Row],[Delivery Time]]-Table3[[#This Row],[Order Time]]</f>
        <v>2.7777777777777679E-3</v>
      </c>
      <c r="L100" s="43">
        <v>4</v>
      </c>
      <c r="M100" s="10" t="s">
        <v>11</v>
      </c>
      <c r="N100" s="14"/>
      <c r="O100" s="14" t="s">
        <v>39</v>
      </c>
      <c r="P100" s="10" t="s">
        <v>16</v>
      </c>
      <c r="Q100" s="10"/>
    </row>
    <row r="101" spans="1:17" x14ac:dyDescent="0.25">
      <c r="A101" s="17">
        <f t="shared" si="4"/>
        <v>100</v>
      </c>
      <c r="B101" s="18">
        <v>42949</v>
      </c>
      <c r="C101" s="18" t="str">
        <f t="shared" si="5"/>
        <v>Wednesday</v>
      </c>
      <c r="D101" s="10" t="str">
        <f t="shared" si="6"/>
        <v>Same</v>
      </c>
      <c r="E101" s="11">
        <v>234.36</v>
      </c>
      <c r="F101" s="11">
        <v>20</v>
      </c>
      <c r="G101" s="12">
        <f t="shared" si="7"/>
        <v>8.5338795016214372E-2</v>
      </c>
      <c r="H101" s="11">
        <v>0</v>
      </c>
      <c r="I101" s="13">
        <v>0.75</v>
      </c>
      <c r="J101" s="13">
        <v>0.75277777777777777</v>
      </c>
      <c r="K101" s="44">
        <f>Table3[[#This Row],[Delivery Time]]-Table3[[#This Row],[Order Time]]</f>
        <v>2.7777777777777679E-3</v>
      </c>
      <c r="L101" s="43">
        <v>4</v>
      </c>
      <c r="M101" s="10" t="s">
        <v>11</v>
      </c>
      <c r="N101" s="14"/>
      <c r="O101" s="14" t="s">
        <v>39</v>
      </c>
      <c r="P101" s="10" t="s">
        <v>16</v>
      </c>
      <c r="Q101" s="10"/>
    </row>
    <row r="102" spans="1:17" x14ac:dyDescent="0.25">
      <c r="A102" s="17">
        <f t="shared" si="4"/>
        <v>101</v>
      </c>
      <c r="B102" s="18">
        <v>42949</v>
      </c>
      <c r="C102" s="18" t="str">
        <f t="shared" si="5"/>
        <v>Wednesday</v>
      </c>
      <c r="D102" s="10" t="str">
        <f t="shared" si="6"/>
        <v>Same</v>
      </c>
      <c r="E102" s="11">
        <v>234.36</v>
      </c>
      <c r="F102" s="11">
        <v>30</v>
      </c>
      <c r="G102" s="12">
        <f t="shared" si="7"/>
        <v>0.12800819252432155</v>
      </c>
      <c r="H102" s="11">
        <v>0</v>
      </c>
      <c r="I102" s="13">
        <v>0.75</v>
      </c>
      <c r="J102" s="13">
        <v>0.75277777777777777</v>
      </c>
      <c r="K102" s="44">
        <f>Table3[[#This Row],[Delivery Time]]-Table3[[#This Row],[Order Time]]</f>
        <v>2.7777777777777679E-3</v>
      </c>
      <c r="L102" s="43">
        <v>4</v>
      </c>
      <c r="M102" s="10" t="s">
        <v>11</v>
      </c>
      <c r="N102" s="14"/>
      <c r="O102" s="14" t="s">
        <v>39</v>
      </c>
      <c r="P102" s="10" t="s">
        <v>16</v>
      </c>
      <c r="Q102" s="10"/>
    </row>
    <row r="103" spans="1:17" x14ac:dyDescent="0.25">
      <c r="A103" s="17">
        <f t="shared" si="4"/>
        <v>102</v>
      </c>
      <c r="B103" s="18">
        <v>42949</v>
      </c>
      <c r="C103" s="18" t="str">
        <f t="shared" si="5"/>
        <v>Wednesday</v>
      </c>
      <c r="D103" s="10" t="str">
        <f t="shared" si="6"/>
        <v>Same</v>
      </c>
      <c r="E103" s="11">
        <v>30.53</v>
      </c>
      <c r="F103" s="11">
        <v>5</v>
      </c>
      <c r="G103" s="12">
        <f t="shared" si="7"/>
        <v>0.16377333770062233</v>
      </c>
      <c r="H103" s="11">
        <v>1.5</v>
      </c>
      <c r="I103" s="13">
        <v>0.75277777777777777</v>
      </c>
      <c r="J103" s="13">
        <v>0.77777777777777779</v>
      </c>
      <c r="K103" s="44">
        <f>Table3[[#This Row],[Delivery Time]]-Table3[[#This Row],[Order Time]]</f>
        <v>2.5000000000000022E-2</v>
      </c>
      <c r="L103" s="43">
        <v>36</v>
      </c>
      <c r="M103" s="10" t="s">
        <v>0</v>
      </c>
      <c r="N103" s="14"/>
      <c r="O103" s="14" t="s">
        <v>39</v>
      </c>
      <c r="P103" s="10" t="s">
        <v>20</v>
      </c>
      <c r="Q103" s="10"/>
    </row>
    <row r="104" spans="1:17" x14ac:dyDescent="0.25">
      <c r="A104" s="17">
        <f t="shared" si="4"/>
        <v>103</v>
      </c>
      <c r="B104" s="18">
        <v>42949</v>
      </c>
      <c r="C104" s="18" t="str">
        <f t="shared" si="5"/>
        <v>Wednesday</v>
      </c>
      <c r="D104" s="10" t="str">
        <f t="shared" si="6"/>
        <v>Same</v>
      </c>
      <c r="E104" s="11">
        <v>18.350000000000001</v>
      </c>
      <c r="F104" s="11">
        <v>5</v>
      </c>
      <c r="G104" s="12">
        <f t="shared" si="7"/>
        <v>0.27247956403269752</v>
      </c>
      <c r="H104" s="11">
        <v>1.5</v>
      </c>
      <c r="I104" s="13">
        <v>0.79027777777777775</v>
      </c>
      <c r="J104" s="13">
        <v>0.80486111111111114</v>
      </c>
      <c r="K104" s="44">
        <f>Table3[[#This Row],[Delivery Time]]-Table3[[#This Row],[Order Time]]</f>
        <v>1.4583333333333393E-2</v>
      </c>
      <c r="L104" s="43">
        <v>21</v>
      </c>
      <c r="M104" s="10" t="s">
        <v>11</v>
      </c>
      <c r="N104" s="14"/>
      <c r="O104" s="14" t="s">
        <v>39</v>
      </c>
      <c r="P104" s="10" t="s">
        <v>20</v>
      </c>
      <c r="Q104" s="10"/>
    </row>
    <row r="105" spans="1:17" x14ac:dyDescent="0.25">
      <c r="A105" s="17">
        <f t="shared" si="4"/>
        <v>104</v>
      </c>
      <c r="B105" s="18">
        <v>42949</v>
      </c>
      <c r="C105" s="18" t="str">
        <f t="shared" si="5"/>
        <v>Wednesday</v>
      </c>
      <c r="D105" s="10" t="str">
        <f t="shared" si="6"/>
        <v>Same</v>
      </c>
      <c r="E105" s="11">
        <v>44.98</v>
      </c>
      <c r="F105" s="11">
        <v>10</v>
      </c>
      <c r="G105" s="12">
        <f t="shared" si="7"/>
        <v>0.22232103156958649</v>
      </c>
      <c r="H105" s="11">
        <v>7</v>
      </c>
      <c r="I105" s="13">
        <v>0.8125</v>
      </c>
      <c r="J105" s="13">
        <v>0.83888888888888891</v>
      </c>
      <c r="K105" s="44">
        <f>Table3[[#This Row],[Delivery Time]]-Table3[[#This Row],[Order Time]]</f>
        <v>2.6388888888888906E-2</v>
      </c>
      <c r="L105" s="43">
        <v>38</v>
      </c>
      <c r="M105" s="10" t="s">
        <v>1</v>
      </c>
      <c r="N105" s="14"/>
      <c r="O105" s="14" t="s">
        <v>39</v>
      </c>
      <c r="P105" s="10" t="s">
        <v>20</v>
      </c>
      <c r="Q105" s="10"/>
    </row>
    <row r="106" spans="1:17" x14ac:dyDescent="0.25">
      <c r="A106" s="17">
        <f t="shared" si="4"/>
        <v>105</v>
      </c>
      <c r="B106" s="18">
        <v>42949</v>
      </c>
      <c r="C106" s="18" t="str">
        <f t="shared" si="5"/>
        <v>Wednesday</v>
      </c>
      <c r="D106" s="10" t="str">
        <f t="shared" si="6"/>
        <v>Same</v>
      </c>
      <c r="E106" s="11">
        <v>38.1</v>
      </c>
      <c r="F106" s="11">
        <v>11.9</v>
      </c>
      <c r="G106" s="12">
        <f t="shared" si="7"/>
        <v>0.31233595800524933</v>
      </c>
      <c r="H106" s="11">
        <v>1.5</v>
      </c>
      <c r="I106" s="13">
        <v>0.84791666666666676</v>
      </c>
      <c r="J106" s="13">
        <v>0.86875000000000002</v>
      </c>
      <c r="K106" s="44">
        <f>Table3[[#This Row],[Delivery Time]]-Table3[[#This Row],[Order Time]]</f>
        <v>2.0833333333333259E-2</v>
      </c>
      <c r="L106" s="43">
        <v>30</v>
      </c>
      <c r="M106" s="10" t="s">
        <v>0</v>
      </c>
      <c r="N106" s="14"/>
      <c r="O106" s="14" t="s">
        <v>39</v>
      </c>
      <c r="P106" s="10" t="s">
        <v>20</v>
      </c>
      <c r="Q106" s="10"/>
    </row>
    <row r="107" spans="1:17" x14ac:dyDescent="0.25">
      <c r="A107" s="17">
        <f t="shared" si="4"/>
        <v>106</v>
      </c>
      <c r="B107" s="18">
        <v>42949</v>
      </c>
      <c r="C107" s="18" t="str">
        <f t="shared" si="5"/>
        <v>Wednesday</v>
      </c>
      <c r="D107" s="10" t="str">
        <f t="shared" si="6"/>
        <v>Same</v>
      </c>
      <c r="E107" s="11">
        <v>14.61</v>
      </c>
      <c r="F107" s="11">
        <v>4</v>
      </c>
      <c r="G107" s="12">
        <f t="shared" si="7"/>
        <v>0.27378507871321012</v>
      </c>
      <c r="H107" s="11">
        <v>1.5</v>
      </c>
      <c r="I107" s="13">
        <v>0.89097222222222217</v>
      </c>
      <c r="J107" s="13">
        <v>0.90208333333333324</v>
      </c>
      <c r="K107" s="44">
        <f>Table3[[#This Row],[Delivery Time]]-Table3[[#This Row],[Order Time]]</f>
        <v>1.1111111111111072E-2</v>
      </c>
      <c r="L107" s="43">
        <v>16</v>
      </c>
      <c r="M107" s="10" t="s">
        <v>0</v>
      </c>
      <c r="N107" s="14"/>
      <c r="O107" s="14" t="s">
        <v>40</v>
      </c>
      <c r="P107" s="10" t="s">
        <v>20</v>
      </c>
      <c r="Q107" s="10"/>
    </row>
    <row r="108" spans="1:17" x14ac:dyDescent="0.25">
      <c r="A108" s="17">
        <f t="shared" si="4"/>
        <v>107</v>
      </c>
      <c r="B108" s="18">
        <v>42951</v>
      </c>
      <c r="C108" s="18" t="str">
        <f t="shared" si="5"/>
        <v>Friday</v>
      </c>
      <c r="D108" s="10" t="str">
        <f t="shared" si="6"/>
        <v>Different</v>
      </c>
      <c r="E108" s="11">
        <v>60.62</v>
      </c>
      <c r="F108" s="11">
        <v>7</v>
      </c>
      <c r="G108" s="12">
        <f t="shared" si="7"/>
        <v>0.11547344110854504</v>
      </c>
      <c r="H108" s="11">
        <v>1.5</v>
      </c>
      <c r="I108" s="13">
        <v>0.73125000000000007</v>
      </c>
      <c r="J108" s="13">
        <v>0.75277777777777777</v>
      </c>
      <c r="K108" s="44">
        <f>Table3[[#This Row],[Delivery Time]]-Table3[[#This Row],[Order Time]]</f>
        <v>2.1527777777777701E-2</v>
      </c>
      <c r="L108" s="43">
        <v>31.000000000000004</v>
      </c>
      <c r="M108" s="10" t="s">
        <v>0</v>
      </c>
      <c r="N108" s="14"/>
      <c r="O108" s="14" t="s">
        <v>40</v>
      </c>
      <c r="P108" s="10" t="s">
        <v>20</v>
      </c>
      <c r="Q108" s="10"/>
    </row>
    <row r="109" spans="1:17" x14ac:dyDescent="0.25">
      <c r="A109" s="17">
        <f t="shared" si="4"/>
        <v>108</v>
      </c>
      <c r="B109" s="18">
        <v>42951</v>
      </c>
      <c r="C109" s="18" t="str">
        <f t="shared" si="5"/>
        <v>Friday</v>
      </c>
      <c r="D109" s="10" t="str">
        <f t="shared" si="6"/>
        <v>Same</v>
      </c>
      <c r="E109" s="11">
        <v>54.29</v>
      </c>
      <c r="F109" s="11">
        <v>5</v>
      </c>
      <c r="G109" s="12">
        <f t="shared" si="7"/>
        <v>9.2097992263768649E-2</v>
      </c>
      <c r="H109" s="11">
        <v>1.5</v>
      </c>
      <c r="I109" s="13">
        <v>0.73819444444444438</v>
      </c>
      <c r="J109" s="13">
        <v>0.76597222222222217</v>
      </c>
      <c r="K109" s="44">
        <f>Table3[[#This Row],[Delivery Time]]-Table3[[#This Row],[Order Time]]</f>
        <v>2.777777777777779E-2</v>
      </c>
      <c r="L109" s="43">
        <v>40</v>
      </c>
      <c r="M109" s="10" t="s">
        <v>0</v>
      </c>
      <c r="N109" s="14"/>
      <c r="O109" s="14" t="s">
        <v>39</v>
      </c>
      <c r="P109" s="10" t="s">
        <v>20</v>
      </c>
      <c r="Q109" s="10"/>
    </row>
    <row r="110" spans="1:17" x14ac:dyDescent="0.25">
      <c r="A110" s="17">
        <f t="shared" si="4"/>
        <v>109</v>
      </c>
      <c r="B110" s="18">
        <v>42951</v>
      </c>
      <c r="C110" s="18" t="str">
        <f t="shared" si="5"/>
        <v>Friday</v>
      </c>
      <c r="D110" s="10" t="str">
        <f t="shared" si="6"/>
        <v>Same</v>
      </c>
      <c r="E110" s="11">
        <v>30.74</v>
      </c>
      <c r="F110" s="11">
        <v>4.26</v>
      </c>
      <c r="G110" s="12">
        <f t="shared" si="7"/>
        <v>0.13858165256994145</v>
      </c>
      <c r="H110" s="11">
        <v>1.5</v>
      </c>
      <c r="I110" s="13">
        <v>0.7729166666666667</v>
      </c>
      <c r="J110" s="13">
        <v>0.78541666666666676</v>
      </c>
      <c r="K110" s="44">
        <f>Table3[[#This Row],[Delivery Time]]-Table3[[#This Row],[Order Time]]</f>
        <v>1.2500000000000067E-2</v>
      </c>
      <c r="L110" s="43">
        <v>18</v>
      </c>
      <c r="M110" s="10" t="s">
        <v>0</v>
      </c>
      <c r="N110" s="14"/>
      <c r="O110" s="14" t="s">
        <v>40</v>
      </c>
      <c r="P110" s="10" t="s">
        <v>20</v>
      </c>
      <c r="Q110" s="10"/>
    </row>
    <row r="111" spans="1:17" x14ac:dyDescent="0.25">
      <c r="A111" s="17">
        <f t="shared" si="4"/>
        <v>110</v>
      </c>
      <c r="B111" s="18">
        <v>42951</v>
      </c>
      <c r="C111" s="18" t="str">
        <f t="shared" si="5"/>
        <v>Friday</v>
      </c>
      <c r="D111" s="10" t="str">
        <f t="shared" si="6"/>
        <v>Same</v>
      </c>
      <c r="E111" s="11">
        <v>20.239999999999998</v>
      </c>
      <c r="F111" s="11">
        <v>5</v>
      </c>
      <c r="G111" s="12">
        <f t="shared" si="7"/>
        <v>0.24703557312252966</v>
      </c>
      <c r="H111" s="11">
        <v>1.5</v>
      </c>
      <c r="I111" s="13">
        <v>0.79652777777777783</v>
      </c>
      <c r="J111" s="13">
        <v>0.82152777777777775</v>
      </c>
      <c r="K111" s="44">
        <f>Table3[[#This Row],[Delivery Time]]-Table3[[#This Row],[Order Time]]</f>
        <v>2.4999999999999911E-2</v>
      </c>
      <c r="L111" s="43">
        <v>36</v>
      </c>
      <c r="M111" s="10" t="s">
        <v>12</v>
      </c>
      <c r="N111" s="14"/>
      <c r="O111" s="14" t="s">
        <v>39</v>
      </c>
      <c r="P111" s="10" t="s">
        <v>20</v>
      </c>
      <c r="Q111" s="10"/>
    </row>
    <row r="112" spans="1:17" x14ac:dyDescent="0.25">
      <c r="A112" s="17">
        <f t="shared" si="4"/>
        <v>111</v>
      </c>
      <c r="B112" s="18">
        <v>42951</v>
      </c>
      <c r="C112" s="18" t="str">
        <f t="shared" si="5"/>
        <v>Friday</v>
      </c>
      <c r="D112" s="10" t="str">
        <f t="shared" si="6"/>
        <v>Same</v>
      </c>
      <c r="E112" s="11">
        <v>24.36</v>
      </c>
      <c r="F112" s="11">
        <v>3</v>
      </c>
      <c r="G112" s="12">
        <f t="shared" si="7"/>
        <v>0.12315270935960591</v>
      </c>
      <c r="H112" s="11">
        <v>1.5</v>
      </c>
      <c r="I112" s="13">
        <v>0.79791666666666661</v>
      </c>
      <c r="J112" s="13">
        <v>0.8256944444444444</v>
      </c>
      <c r="K112" s="44">
        <f>Table3[[#This Row],[Delivery Time]]-Table3[[#This Row],[Order Time]]</f>
        <v>2.777777777777779E-2</v>
      </c>
      <c r="L112" s="43">
        <v>40</v>
      </c>
      <c r="M112" s="10" t="s">
        <v>12</v>
      </c>
      <c r="N112" s="14"/>
      <c r="O112" s="14" t="s">
        <v>39</v>
      </c>
      <c r="P112" s="10" t="s">
        <v>20</v>
      </c>
      <c r="Q112" s="10"/>
    </row>
    <row r="113" spans="1:17" x14ac:dyDescent="0.25">
      <c r="A113" s="17">
        <f t="shared" si="4"/>
        <v>112</v>
      </c>
      <c r="B113" s="18">
        <v>42951</v>
      </c>
      <c r="C113" s="18" t="str">
        <f t="shared" si="5"/>
        <v>Friday</v>
      </c>
      <c r="D113" s="10" t="str">
        <f t="shared" si="6"/>
        <v>Same</v>
      </c>
      <c r="E113" s="11">
        <v>56.4</v>
      </c>
      <c r="F113" s="11">
        <v>9</v>
      </c>
      <c r="G113" s="12">
        <f t="shared" si="7"/>
        <v>0.15957446808510639</v>
      </c>
      <c r="H113" s="11">
        <v>1.5</v>
      </c>
      <c r="I113" s="13">
        <v>0.80208333333333337</v>
      </c>
      <c r="J113" s="13">
        <v>0.82847222222222217</v>
      </c>
      <c r="K113" s="44">
        <f>Table3[[#This Row],[Delivery Time]]-Table3[[#This Row],[Order Time]]</f>
        <v>2.6388888888888795E-2</v>
      </c>
      <c r="L113" s="43">
        <v>38</v>
      </c>
      <c r="M113" s="10" t="s">
        <v>12</v>
      </c>
      <c r="N113" s="14"/>
      <c r="O113" s="14" t="s">
        <v>39</v>
      </c>
      <c r="P113" s="10" t="s">
        <v>20</v>
      </c>
      <c r="Q113" s="10"/>
    </row>
    <row r="114" spans="1:17" x14ac:dyDescent="0.25">
      <c r="A114" s="17">
        <f t="shared" si="4"/>
        <v>113</v>
      </c>
      <c r="B114" s="18">
        <v>42951</v>
      </c>
      <c r="C114" s="18" t="str">
        <f t="shared" si="5"/>
        <v>Friday</v>
      </c>
      <c r="D114" s="10" t="str">
        <f t="shared" si="6"/>
        <v>Same</v>
      </c>
      <c r="E114" s="11">
        <v>54.13</v>
      </c>
      <c r="F114" s="11">
        <v>7.87</v>
      </c>
      <c r="G114" s="12">
        <f t="shared" si="7"/>
        <v>0.14539072602992795</v>
      </c>
      <c r="H114" s="11">
        <v>1.5</v>
      </c>
      <c r="I114" s="13">
        <v>0.83472222222222225</v>
      </c>
      <c r="J114" s="13">
        <v>0.8534722222222223</v>
      </c>
      <c r="K114" s="44">
        <f>Table3[[#This Row],[Delivery Time]]-Table3[[#This Row],[Order Time]]</f>
        <v>1.8750000000000044E-2</v>
      </c>
      <c r="L114" s="43">
        <v>26.999999999999996</v>
      </c>
      <c r="M114" s="10" t="s">
        <v>11</v>
      </c>
      <c r="N114" s="14"/>
      <c r="O114" s="14" t="s">
        <v>41</v>
      </c>
      <c r="P114" s="10" t="s">
        <v>20</v>
      </c>
      <c r="Q114" s="10"/>
    </row>
    <row r="115" spans="1:17" x14ac:dyDescent="0.25">
      <c r="A115" s="17">
        <f t="shared" si="4"/>
        <v>114</v>
      </c>
      <c r="B115" s="18">
        <v>42951</v>
      </c>
      <c r="C115" s="18" t="str">
        <f t="shared" si="5"/>
        <v>Friday</v>
      </c>
      <c r="D115" s="10" t="str">
        <f t="shared" si="6"/>
        <v>Same</v>
      </c>
      <c r="E115" s="11">
        <v>29.23</v>
      </c>
      <c r="F115" s="11">
        <v>0</v>
      </c>
      <c r="G115" s="12">
        <f t="shared" si="7"/>
        <v>0</v>
      </c>
      <c r="H115" s="11">
        <v>7</v>
      </c>
      <c r="I115" s="13">
        <v>0.83958333333333324</v>
      </c>
      <c r="J115" s="13">
        <v>0.86388888888888893</v>
      </c>
      <c r="K115" s="44">
        <f>Table3[[#This Row],[Delivery Time]]-Table3[[#This Row],[Order Time]]</f>
        <v>2.4305555555555691E-2</v>
      </c>
      <c r="L115" s="43">
        <v>35</v>
      </c>
      <c r="M115" s="10" t="s">
        <v>11</v>
      </c>
      <c r="N115" s="14"/>
      <c r="O115" s="14" t="s">
        <v>39</v>
      </c>
      <c r="P115" s="10" t="s">
        <v>20</v>
      </c>
      <c r="Q115" s="10"/>
    </row>
    <row r="116" spans="1:17" x14ac:dyDescent="0.25">
      <c r="A116" s="17">
        <f t="shared" si="4"/>
        <v>115</v>
      </c>
      <c r="B116" s="18">
        <v>42952</v>
      </c>
      <c r="C116" s="18" t="str">
        <f t="shared" si="5"/>
        <v>Saturday</v>
      </c>
      <c r="D116" s="10" t="str">
        <f t="shared" si="6"/>
        <v>Different</v>
      </c>
      <c r="E116" s="11">
        <v>27.01</v>
      </c>
      <c r="F116" s="11">
        <v>6</v>
      </c>
      <c r="G116" s="12">
        <f t="shared" si="7"/>
        <v>0.22213994816734542</v>
      </c>
      <c r="H116" s="11">
        <v>1.5</v>
      </c>
      <c r="I116" s="13">
        <v>0.69097222222222221</v>
      </c>
      <c r="J116" s="13">
        <v>0.71527777777777779</v>
      </c>
      <c r="K116" s="44">
        <f>Table3[[#This Row],[Delivery Time]]-Table3[[#This Row],[Order Time]]</f>
        <v>2.430555555555558E-2</v>
      </c>
      <c r="L116" s="43">
        <v>35</v>
      </c>
      <c r="M116" s="10" t="s">
        <v>11</v>
      </c>
      <c r="N116" s="14"/>
      <c r="O116" s="14" t="s">
        <v>41</v>
      </c>
      <c r="P116" s="10" t="s">
        <v>20</v>
      </c>
      <c r="Q116" s="10"/>
    </row>
    <row r="117" spans="1:17" x14ac:dyDescent="0.25">
      <c r="A117" s="17">
        <f t="shared" si="4"/>
        <v>116</v>
      </c>
      <c r="B117" s="18">
        <v>42952</v>
      </c>
      <c r="C117" s="18" t="str">
        <f t="shared" si="5"/>
        <v>Saturday</v>
      </c>
      <c r="D117" s="10" t="str">
        <f t="shared" si="6"/>
        <v>Same</v>
      </c>
      <c r="E117" s="11">
        <v>36.64</v>
      </c>
      <c r="F117" s="11">
        <v>3.36</v>
      </c>
      <c r="G117" s="12">
        <f t="shared" si="7"/>
        <v>9.1703056768558944E-2</v>
      </c>
      <c r="H117" s="11">
        <v>7</v>
      </c>
      <c r="I117" s="13">
        <v>0.76736111111111116</v>
      </c>
      <c r="J117" s="13">
        <v>0.79027777777777775</v>
      </c>
      <c r="K117" s="44">
        <f>Table3[[#This Row],[Delivery Time]]-Table3[[#This Row],[Order Time]]</f>
        <v>2.2916666666666585E-2</v>
      </c>
      <c r="L117" s="43">
        <v>33</v>
      </c>
      <c r="M117" s="10" t="s">
        <v>36</v>
      </c>
      <c r="N117" s="14"/>
      <c r="O117" s="14" t="s">
        <v>39</v>
      </c>
      <c r="P117" s="10" t="s">
        <v>20</v>
      </c>
      <c r="Q117" s="10"/>
    </row>
    <row r="118" spans="1:17" x14ac:dyDescent="0.25">
      <c r="A118" s="17">
        <f t="shared" si="4"/>
        <v>117</v>
      </c>
      <c r="B118" s="18">
        <v>42952</v>
      </c>
      <c r="C118" s="18" t="str">
        <f t="shared" si="5"/>
        <v>Saturday</v>
      </c>
      <c r="D118" s="10" t="str">
        <f t="shared" si="6"/>
        <v>Same</v>
      </c>
      <c r="E118" s="11">
        <v>30.85</v>
      </c>
      <c r="F118" s="11">
        <v>6</v>
      </c>
      <c r="G118" s="12">
        <f t="shared" si="7"/>
        <v>0.19448946515397081</v>
      </c>
      <c r="H118" s="11">
        <v>1.5</v>
      </c>
      <c r="I118" s="13">
        <v>0.80347222222222225</v>
      </c>
      <c r="J118" s="13">
        <v>0.82847222222222217</v>
      </c>
      <c r="K118" s="44">
        <f>Table3[[#This Row],[Delivery Time]]-Table3[[#This Row],[Order Time]]</f>
        <v>2.4999999999999911E-2</v>
      </c>
      <c r="L118" s="43">
        <v>36</v>
      </c>
      <c r="M118" s="10" t="s">
        <v>11</v>
      </c>
      <c r="N118" s="14"/>
      <c r="O118" s="14" t="s">
        <v>39</v>
      </c>
      <c r="P118" s="10" t="s">
        <v>20</v>
      </c>
      <c r="Q118" s="10"/>
    </row>
    <row r="119" spans="1:17" x14ac:dyDescent="0.25">
      <c r="A119" s="17">
        <f t="shared" si="4"/>
        <v>118</v>
      </c>
      <c r="B119" s="18">
        <v>42953</v>
      </c>
      <c r="C119" s="18" t="str">
        <f t="shared" si="5"/>
        <v>Sunday</v>
      </c>
      <c r="D119" s="10" t="str">
        <f t="shared" si="6"/>
        <v>Different</v>
      </c>
      <c r="E119" s="11">
        <v>33.020000000000003</v>
      </c>
      <c r="F119" s="11">
        <v>6</v>
      </c>
      <c r="G119" s="12">
        <f t="shared" si="7"/>
        <v>0.18170805572380375</v>
      </c>
      <c r="H119" s="11">
        <v>5</v>
      </c>
      <c r="I119" s="13">
        <v>0.72638888888888886</v>
      </c>
      <c r="J119" s="13">
        <v>0.74652777777777779</v>
      </c>
      <c r="K119" s="44">
        <f>Table3[[#This Row],[Delivery Time]]-Table3[[#This Row],[Order Time]]</f>
        <v>2.0138888888888928E-2</v>
      </c>
      <c r="L119" s="43">
        <v>29.000000000000004</v>
      </c>
      <c r="M119" s="10" t="s">
        <v>0</v>
      </c>
      <c r="N119" s="14"/>
      <c r="O119" s="14" t="s">
        <v>39</v>
      </c>
      <c r="P119" s="10" t="s">
        <v>20</v>
      </c>
      <c r="Q119" s="10"/>
    </row>
    <row r="120" spans="1:17" x14ac:dyDescent="0.25">
      <c r="A120" s="17">
        <f t="shared" si="4"/>
        <v>119</v>
      </c>
      <c r="B120" s="18">
        <v>42953</v>
      </c>
      <c r="C120" s="18" t="str">
        <f t="shared" si="5"/>
        <v>Sunday</v>
      </c>
      <c r="D120" s="10" t="str">
        <f t="shared" si="6"/>
        <v>Same</v>
      </c>
      <c r="E120" s="11">
        <v>35.18</v>
      </c>
      <c r="F120" s="11">
        <v>5</v>
      </c>
      <c r="G120" s="12">
        <f t="shared" si="7"/>
        <v>0.14212620807276863</v>
      </c>
      <c r="H120" s="11">
        <v>1.5</v>
      </c>
      <c r="I120" s="13">
        <v>0.7597222222222223</v>
      </c>
      <c r="J120" s="13">
        <v>0.78125</v>
      </c>
      <c r="K120" s="44">
        <f>Table3[[#This Row],[Delivery Time]]-Table3[[#This Row],[Order Time]]</f>
        <v>2.1527777777777701E-2</v>
      </c>
      <c r="L120" s="43">
        <v>31.000000000000004</v>
      </c>
      <c r="M120" s="10" t="s">
        <v>0</v>
      </c>
      <c r="N120" s="14"/>
      <c r="O120" s="14" t="s">
        <v>39</v>
      </c>
      <c r="P120" s="10" t="s">
        <v>20</v>
      </c>
      <c r="Q120" s="10"/>
    </row>
    <row r="121" spans="1:17" x14ac:dyDescent="0.25">
      <c r="A121" s="17">
        <f t="shared" si="4"/>
        <v>120</v>
      </c>
      <c r="B121" s="18">
        <v>42953</v>
      </c>
      <c r="C121" s="18" t="str">
        <f t="shared" si="5"/>
        <v>Sunday</v>
      </c>
      <c r="D121" s="10" t="str">
        <f t="shared" si="6"/>
        <v>Same</v>
      </c>
      <c r="E121" s="11">
        <v>34.64</v>
      </c>
      <c r="F121" s="11">
        <v>4</v>
      </c>
      <c r="G121" s="12">
        <f t="shared" si="7"/>
        <v>0.11547344110854503</v>
      </c>
      <c r="H121" s="11">
        <v>1.5</v>
      </c>
      <c r="I121" s="13">
        <v>0.76250000000000007</v>
      </c>
      <c r="J121" s="13">
        <v>0.78472222222222221</v>
      </c>
      <c r="K121" s="44">
        <f>Table3[[#This Row],[Delivery Time]]-Table3[[#This Row],[Order Time]]</f>
        <v>2.2222222222222143E-2</v>
      </c>
      <c r="L121" s="43">
        <v>32</v>
      </c>
      <c r="M121" s="10" t="s">
        <v>0</v>
      </c>
      <c r="N121" s="14"/>
      <c r="O121" s="14" t="s">
        <v>39</v>
      </c>
      <c r="P121" s="10" t="s">
        <v>20</v>
      </c>
      <c r="Q121" s="10"/>
    </row>
    <row r="122" spans="1:17" x14ac:dyDescent="0.25">
      <c r="A122" s="17">
        <f t="shared" si="4"/>
        <v>121</v>
      </c>
      <c r="B122" s="18">
        <v>42953</v>
      </c>
      <c r="C122" s="18" t="str">
        <f t="shared" si="5"/>
        <v>Sunday</v>
      </c>
      <c r="D122" s="10" t="str">
        <f t="shared" si="6"/>
        <v>Same</v>
      </c>
      <c r="E122" s="11">
        <v>60.02</v>
      </c>
      <c r="F122" s="11">
        <v>6</v>
      </c>
      <c r="G122" s="12">
        <f t="shared" si="7"/>
        <v>9.9966677774075308E-2</v>
      </c>
      <c r="H122" s="11">
        <v>1.5</v>
      </c>
      <c r="I122" s="13">
        <v>0.76041666666666663</v>
      </c>
      <c r="J122" s="13">
        <v>0.79652777777777783</v>
      </c>
      <c r="K122" s="44">
        <f>Table3[[#This Row],[Delivery Time]]-Table3[[#This Row],[Order Time]]</f>
        <v>3.6111111111111205E-2</v>
      </c>
      <c r="L122" s="43">
        <v>52</v>
      </c>
      <c r="M122" s="10" t="s">
        <v>0</v>
      </c>
      <c r="N122" s="14"/>
      <c r="O122" s="14" t="s">
        <v>41</v>
      </c>
      <c r="P122" s="10" t="s">
        <v>20</v>
      </c>
      <c r="Q122" s="10"/>
    </row>
    <row r="123" spans="1:17" x14ac:dyDescent="0.25">
      <c r="A123" s="17">
        <f t="shared" si="4"/>
        <v>122</v>
      </c>
      <c r="B123" s="18">
        <v>42953</v>
      </c>
      <c r="C123" s="18" t="str">
        <f t="shared" si="5"/>
        <v>Sunday</v>
      </c>
      <c r="D123" s="10" t="str">
        <f t="shared" si="6"/>
        <v>Same</v>
      </c>
      <c r="E123" s="11">
        <v>47.31</v>
      </c>
      <c r="F123" s="11">
        <v>10</v>
      </c>
      <c r="G123" s="12">
        <f t="shared" si="7"/>
        <v>0.21137180300147959</v>
      </c>
      <c r="H123" s="11">
        <v>1.5</v>
      </c>
      <c r="I123" s="13">
        <v>0.80208333333333337</v>
      </c>
      <c r="J123" s="13">
        <v>0.81736111111111109</v>
      </c>
      <c r="K123" s="44">
        <f>Table3[[#This Row],[Delivery Time]]-Table3[[#This Row],[Order Time]]</f>
        <v>1.5277777777777724E-2</v>
      </c>
      <c r="L123" s="43">
        <v>22</v>
      </c>
      <c r="M123" s="10" t="s">
        <v>0</v>
      </c>
      <c r="N123" s="14"/>
      <c r="O123" s="14" t="s">
        <v>39</v>
      </c>
      <c r="P123" s="10" t="s">
        <v>20</v>
      </c>
      <c r="Q123" s="10"/>
    </row>
    <row r="124" spans="1:17" x14ac:dyDescent="0.25">
      <c r="A124" s="17">
        <f t="shared" si="4"/>
        <v>123</v>
      </c>
      <c r="B124" s="18">
        <v>42953</v>
      </c>
      <c r="C124" s="18" t="str">
        <f t="shared" si="5"/>
        <v>Sunday</v>
      </c>
      <c r="D124" s="10" t="str">
        <f t="shared" si="6"/>
        <v>Same</v>
      </c>
      <c r="E124" s="11">
        <v>17</v>
      </c>
      <c r="F124" s="11">
        <v>3</v>
      </c>
      <c r="G124" s="12">
        <f t="shared" si="7"/>
        <v>0.17647058823529413</v>
      </c>
      <c r="H124" s="11">
        <v>1.5</v>
      </c>
      <c r="I124" s="13">
        <v>0.8354166666666667</v>
      </c>
      <c r="J124" s="13">
        <v>0.86041666666666661</v>
      </c>
      <c r="K124" s="44">
        <f>Table3[[#This Row],[Delivery Time]]-Table3[[#This Row],[Order Time]]</f>
        <v>2.4999999999999911E-2</v>
      </c>
      <c r="L124" s="43">
        <v>36</v>
      </c>
      <c r="M124" s="10" t="s">
        <v>12</v>
      </c>
      <c r="N124" s="14"/>
      <c r="O124" s="14" t="s">
        <v>41</v>
      </c>
      <c r="P124" s="10" t="s">
        <v>20</v>
      </c>
      <c r="Q124" s="10"/>
    </row>
    <row r="125" spans="1:17" x14ac:dyDescent="0.25">
      <c r="A125" s="17">
        <f t="shared" si="4"/>
        <v>124</v>
      </c>
      <c r="B125" s="18">
        <v>42953</v>
      </c>
      <c r="C125" s="18" t="str">
        <f t="shared" si="5"/>
        <v>Sunday</v>
      </c>
      <c r="D125" s="10" t="str">
        <f t="shared" si="6"/>
        <v>Same</v>
      </c>
      <c r="E125" s="11">
        <v>16.239999999999998</v>
      </c>
      <c r="F125" s="11">
        <v>0.76</v>
      </c>
      <c r="G125" s="12">
        <f t="shared" si="7"/>
        <v>4.6798029556650252E-2</v>
      </c>
      <c r="H125" s="11">
        <v>1.5</v>
      </c>
      <c r="I125" s="13">
        <v>0.85902777777777783</v>
      </c>
      <c r="J125" s="13">
        <v>0.88402777777777775</v>
      </c>
      <c r="K125" s="44">
        <f>Table3[[#This Row],[Delivery Time]]-Table3[[#This Row],[Order Time]]</f>
        <v>2.4999999999999911E-2</v>
      </c>
      <c r="L125" s="43">
        <v>36</v>
      </c>
      <c r="M125" s="10" t="s">
        <v>11</v>
      </c>
      <c r="N125" s="14"/>
      <c r="O125" s="14" t="s">
        <v>39</v>
      </c>
      <c r="P125" s="10" t="s">
        <v>20</v>
      </c>
      <c r="Q125" s="10"/>
    </row>
    <row r="126" spans="1:17" x14ac:dyDescent="0.25">
      <c r="A126" s="17">
        <f t="shared" si="4"/>
        <v>125</v>
      </c>
      <c r="B126" s="18">
        <v>42953</v>
      </c>
      <c r="C126" s="18" t="str">
        <f t="shared" si="5"/>
        <v>Sunday</v>
      </c>
      <c r="D126" s="10" t="str">
        <f t="shared" si="6"/>
        <v>Same</v>
      </c>
      <c r="E126" s="11">
        <v>33.72</v>
      </c>
      <c r="F126" s="11">
        <v>6.28</v>
      </c>
      <c r="G126" s="12">
        <f t="shared" si="7"/>
        <v>0.18623962040332148</v>
      </c>
      <c r="H126" s="11">
        <v>1.5</v>
      </c>
      <c r="I126" s="13">
        <v>0.87152777777777779</v>
      </c>
      <c r="J126" s="13">
        <v>0.89930555555555547</v>
      </c>
      <c r="K126" s="44">
        <f>Table3[[#This Row],[Delivery Time]]-Table3[[#This Row],[Order Time]]</f>
        <v>2.7777777777777679E-2</v>
      </c>
      <c r="L126" s="43">
        <v>40</v>
      </c>
      <c r="M126" s="10" t="s">
        <v>11</v>
      </c>
      <c r="N126" s="14"/>
      <c r="O126" s="14" t="s">
        <v>39</v>
      </c>
      <c r="P126" s="10" t="s">
        <v>20</v>
      </c>
      <c r="Q126" s="10"/>
    </row>
    <row r="127" spans="1:17" x14ac:dyDescent="0.25">
      <c r="A127" s="17">
        <f t="shared" si="4"/>
        <v>126</v>
      </c>
      <c r="B127" s="18">
        <v>42954</v>
      </c>
      <c r="C127" s="18" t="str">
        <f t="shared" si="5"/>
        <v>Monday</v>
      </c>
      <c r="D127" s="10" t="str">
        <f t="shared" si="6"/>
        <v>Different</v>
      </c>
      <c r="E127" s="11">
        <v>20.78</v>
      </c>
      <c r="F127" s="11">
        <v>4.22</v>
      </c>
      <c r="G127" s="12">
        <f t="shared" si="7"/>
        <v>0.20307988450433107</v>
      </c>
      <c r="H127" s="11">
        <v>5</v>
      </c>
      <c r="I127" s="13">
        <v>0.71944444444444444</v>
      </c>
      <c r="J127" s="13">
        <v>0.7416666666666667</v>
      </c>
      <c r="K127" s="44">
        <f>Table3[[#This Row],[Delivery Time]]-Table3[[#This Row],[Order Time]]</f>
        <v>2.2222222222222254E-2</v>
      </c>
      <c r="L127" s="43">
        <v>32</v>
      </c>
      <c r="M127" s="10" t="s">
        <v>0</v>
      </c>
      <c r="N127" s="14"/>
      <c r="O127" s="14" t="s">
        <v>39</v>
      </c>
      <c r="P127" s="10" t="s">
        <v>20</v>
      </c>
      <c r="Q127" s="10"/>
    </row>
    <row r="128" spans="1:17" x14ac:dyDescent="0.25">
      <c r="A128" s="17">
        <f t="shared" si="4"/>
        <v>127</v>
      </c>
      <c r="B128" s="18">
        <v>42954</v>
      </c>
      <c r="C128" s="18" t="str">
        <f t="shared" si="5"/>
        <v>Monday</v>
      </c>
      <c r="D128" s="10" t="str">
        <f t="shared" si="6"/>
        <v>Same</v>
      </c>
      <c r="E128" s="11">
        <v>35.130000000000003</v>
      </c>
      <c r="F128" s="11">
        <v>7</v>
      </c>
      <c r="G128" s="12">
        <f t="shared" si="7"/>
        <v>0.19925989183034443</v>
      </c>
      <c r="H128" s="11">
        <v>1.5</v>
      </c>
      <c r="I128" s="13">
        <v>0.72361111111111109</v>
      </c>
      <c r="J128" s="13">
        <v>0.75069444444444444</v>
      </c>
      <c r="K128" s="44">
        <f>Table3[[#This Row],[Delivery Time]]-Table3[[#This Row],[Order Time]]</f>
        <v>2.7083333333333348E-2</v>
      </c>
      <c r="L128" s="43">
        <v>39</v>
      </c>
      <c r="M128" s="10" t="s">
        <v>0</v>
      </c>
      <c r="N128" s="14"/>
      <c r="O128" s="14" t="s">
        <v>39</v>
      </c>
      <c r="P128" s="10" t="s">
        <v>20</v>
      </c>
      <c r="Q128" s="10"/>
    </row>
    <row r="129" spans="1:17" x14ac:dyDescent="0.25">
      <c r="A129" s="17">
        <f t="shared" si="4"/>
        <v>128</v>
      </c>
      <c r="B129" s="18">
        <v>42954</v>
      </c>
      <c r="C129" s="18" t="str">
        <f t="shared" si="5"/>
        <v>Monday</v>
      </c>
      <c r="D129" s="10" t="str">
        <f t="shared" si="6"/>
        <v>Same</v>
      </c>
      <c r="E129" s="11">
        <v>24.9</v>
      </c>
      <c r="F129" s="11">
        <v>5</v>
      </c>
      <c r="G129" s="12">
        <f t="shared" si="7"/>
        <v>0.20080321285140562</v>
      </c>
      <c r="H129" s="11">
        <v>1.5</v>
      </c>
      <c r="I129" s="13">
        <v>0.77013888888888893</v>
      </c>
      <c r="J129" s="13">
        <v>0.78541666666666676</v>
      </c>
      <c r="K129" s="44">
        <f>Table3[[#This Row],[Delivery Time]]-Table3[[#This Row],[Order Time]]</f>
        <v>1.5277777777777835E-2</v>
      </c>
      <c r="L129" s="43">
        <v>22</v>
      </c>
      <c r="M129" s="10" t="s">
        <v>0</v>
      </c>
      <c r="N129" s="14"/>
      <c r="O129" s="14" t="s">
        <v>39</v>
      </c>
      <c r="P129" s="10" t="s">
        <v>20</v>
      </c>
      <c r="Q129" s="10"/>
    </row>
    <row r="130" spans="1:17" x14ac:dyDescent="0.25">
      <c r="A130" s="17">
        <f t="shared" si="4"/>
        <v>129</v>
      </c>
      <c r="B130" s="18">
        <v>42954</v>
      </c>
      <c r="C130" s="18" t="str">
        <f t="shared" si="5"/>
        <v>Monday</v>
      </c>
      <c r="D130" s="10" t="str">
        <f t="shared" si="6"/>
        <v>Same</v>
      </c>
      <c r="E130" s="11">
        <v>31.01</v>
      </c>
      <c r="F130" s="11">
        <v>1.99</v>
      </c>
      <c r="G130" s="12">
        <f t="shared" si="7"/>
        <v>6.417284746855853E-2</v>
      </c>
      <c r="H130" s="11">
        <v>1.5</v>
      </c>
      <c r="I130" s="13">
        <v>0.78611111111111109</v>
      </c>
      <c r="J130" s="13">
        <v>0.80555555555555547</v>
      </c>
      <c r="K130" s="44">
        <f>Table3[[#This Row],[Delivery Time]]-Table3[[#This Row],[Order Time]]</f>
        <v>1.9444444444444375E-2</v>
      </c>
      <c r="L130" s="43">
        <v>28</v>
      </c>
      <c r="M130" s="10" t="s">
        <v>0</v>
      </c>
      <c r="N130" s="14"/>
      <c r="O130" s="14" t="s">
        <v>39</v>
      </c>
      <c r="P130" s="10" t="s">
        <v>20</v>
      </c>
      <c r="Q130" s="10"/>
    </row>
    <row r="131" spans="1:17" x14ac:dyDescent="0.25">
      <c r="A131" s="17">
        <f t="shared" si="4"/>
        <v>130</v>
      </c>
      <c r="B131" s="18">
        <v>42954</v>
      </c>
      <c r="C131" s="18" t="str">
        <f t="shared" si="5"/>
        <v>Monday</v>
      </c>
      <c r="D131" s="10" t="str">
        <f t="shared" si="6"/>
        <v>Same</v>
      </c>
      <c r="E131" s="11">
        <v>122.27</v>
      </c>
      <c r="F131" s="11">
        <v>20</v>
      </c>
      <c r="G131" s="12">
        <f t="shared" si="7"/>
        <v>0.16357242168970312</v>
      </c>
      <c r="H131" s="11">
        <v>1.5</v>
      </c>
      <c r="I131" s="13">
        <v>0.80694444444444446</v>
      </c>
      <c r="J131" s="13">
        <v>0.82916666666666661</v>
      </c>
      <c r="K131" s="44">
        <f>Table3[[#This Row],[Delivery Time]]-Table3[[#This Row],[Order Time]]</f>
        <v>2.2222222222222143E-2</v>
      </c>
      <c r="L131" s="43">
        <v>32</v>
      </c>
      <c r="M131" s="10" t="s">
        <v>11</v>
      </c>
      <c r="N131" s="14"/>
      <c r="O131" s="14" t="s">
        <v>39</v>
      </c>
      <c r="P131" s="10" t="s">
        <v>20</v>
      </c>
      <c r="Q131" s="10"/>
    </row>
    <row r="132" spans="1:17" x14ac:dyDescent="0.25">
      <c r="A132" s="17">
        <f t="shared" si="4"/>
        <v>131</v>
      </c>
      <c r="B132" s="18">
        <v>42954</v>
      </c>
      <c r="C132" s="18" t="str">
        <f t="shared" si="5"/>
        <v>Monday</v>
      </c>
      <c r="D132" s="10" t="str">
        <f t="shared" si="6"/>
        <v>Same</v>
      </c>
      <c r="E132" s="11">
        <v>25.98</v>
      </c>
      <c r="F132" s="11">
        <v>9</v>
      </c>
      <c r="G132" s="12">
        <f t="shared" si="7"/>
        <v>0.3464203233256351</v>
      </c>
      <c r="H132" s="11">
        <v>1.5</v>
      </c>
      <c r="I132" s="13">
        <v>0.84791666666666676</v>
      </c>
      <c r="J132" s="13">
        <v>0.86944444444444446</v>
      </c>
      <c r="K132" s="44">
        <f>Table3[[#This Row],[Delivery Time]]-Table3[[#This Row],[Order Time]]</f>
        <v>2.1527777777777701E-2</v>
      </c>
      <c r="L132" s="43">
        <v>31.000000000000004</v>
      </c>
      <c r="M132" s="10" t="s">
        <v>0</v>
      </c>
      <c r="N132" s="14"/>
      <c r="O132" s="14" t="s">
        <v>40</v>
      </c>
      <c r="P132" s="10" t="s">
        <v>20</v>
      </c>
      <c r="Q132" s="10"/>
    </row>
    <row r="133" spans="1:17" x14ac:dyDescent="0.25">
      <c r="A133" s="17">
        <f t="shared" si="4"/>
        <v>132</v>
      </c>
      <c r="B133" s="18">
        <v>42954</v>
      </c>
      <c r="C133" s="18" t="str">
        <f t="shared" si="5"/>
        <v>Monday</v>
      </c>
      <c r="D133" s="10" t="str">
        <f t="shared" si="6"/>
        <v>Same</v>
      </c>
      <c r="E133" s="11">
        <v>28.9</v>
      </c>
      <c r="F133" s="11">
        <v>5</v>
      </c>
      <c r="G133" s="12">
        <f t="shared" si="7"/>
        <v>0.17301038062283738</v>
      </c>
      <c r="H133" s="11">
        <v>1.5</v>
      </c>
      <c r="I133" s="13">
        <v>0.85138888888888886</v>
      </c>
      <c r="J133" s="13">
        <v>0.87361111111111101</v>
      </c>
      <c r="K133" s="44">
        <f>Table3[[#This Row],[Delivery Time]]-Table3[[#This Row],[Order Time]]</f>
        <v>2.2222222222222143E-2</v>
      </c>
      <c r="L133" s="43">
        <v>32</v>
      </c>
      <c r="M133" s="10" t="s">
        <v>0</v>
      </c>
      <c r="N133" s="14"/>
      <c r="O133" s="14" t="s">
        <v>40</v>
      </c>
      <c r="P133" s="10" t="s">
        <v>20</v>
      </c>
      <c r="Q133" s="10"/>
    </row>
    <row r="134" spans="1:17" x14ac:dyDescent="0.25">
      <c r="A134" s="17">
        <f t="shared" ref="A134:A197" si="8">ROW(A133)</f>
        <v>133</v>
      </c>
      <c r="B134" s="18">
        <v>42954</v>
      </c>
      <c r="C134" s="18" t="str">
        <f t="shared" ref="C134:C197" si="9">TEXT(B134,"dddd")</f>
        <v>Monday</v>
      </c>
      <c r="D134" s="10" t="str">
        <f t="shared" ref="D134:D197" si="10">IF(B133=B134, "Same", "Different")</f>
        <v>Same</v>
      </c>
      <c r="E134" s="11">
        <v>30.8</v>
      </c>
      <c r="F134" s="11">
        <v>6</v>
      </c>
      <c r="G134" s="12">
        <f t="shared" ref="G134:G197" si="11">F134/E134</f>
        <v>0.19480519480519481</v>
      </c>
      <c r="H134" s="11">
        <v>1.5</v>
      </c>
      <c r="I134" s="13">
        <v>0.85138888888888886</v>
      </c>
      <c r="J134" s="13">
        <v>0.88194444444444453</v>
      </c>
      <c r="K134" s="44">
        <f>Table3[[#This Row],[Delivery Time]]-Table3[[#This Row],[Order Time]]</f>
        <v>3.0555555555555669E-2</v>
      </c>
      <c r="L134" s="43">
        <v>44</v>
      </c>
      <c r="M134" s="10" t="s">
        <v>0</v>
      </c>
      <c r="N134" s="14"/>
      <c r="O134" s="14" t="s">
        <v>39</v>
      </c>
      <c r="P134" s="10" t="s">
        <v>20</v>
      </c>
      <c r="Q134" s="10"/>
    </row>
    <row r="135" spans="1:17" x14ac:dyDescent="0.25">
      <c r="A135" s="17">
        <f t="shared" si="8"/>
        <v>134</v>
      </c>
      <c r="B135" s="18">
        <v>42954</v>
      </c>
      <c r="C135" s="18" t="str">
        <f t="shared" si="9"/>
        <v>Monday</v>
      </c>
      <c r="D135" s="10" t="str">
        <f t="shared" si="10"/>
        <v>Same</v>
      </c>
      <c r="E135" s="11">
        <v>35.18</v>
      </c>
      <c r="F135" s="11">
        <v>6</v>
      </c>
      <c r="G135" s="12">
        <f t="shared" si="11"/>
        <v>0.17055144968732233</v>
      </c>
      <c r="H135" s="11">
        <v>1.5</v>
      </c>
      <c r="I135" s="13">
        <v>0.91111111111111109</v>
      </c>
      <c r="J135" s="13">
        <v>0.92638888888888893</v>
      </c>
      <c r="K135" s="44">
        <f>Table3[[#This Row],[Delivery Time]]-Table3[[#This Row],[Order Time]]</f>
        <v>1.5277777777777835E-2</v>
      </c>
      <c r="L135" s="43">
        <v>22</v>
      </c>
      <c r="M135" s="10" t="s">
        <v>11</v>
      </c>
      <c r="N135" s="14"/>
      <c r="O135" s="14" t="s">
        <v>41</v>
      </c>
      <c r="P135" s="10" t="s">
        <v>20</v>
      </c>
      <c r="Q135" s="10"/>
    </row>
    <row r="136" spans="1:17" x14ac:dyDescent="0.25">
      <c r="A136" s="17">
        <f t="shared" si="8"/>
        <v>135</v>
      </c>
      <c r="B136" s="18">
        <v>42956</v>
      </c>
      <c r="C136" s="18" t="str">
        <f t="shared" si="9"/>
        <v>Wednesday</v>
      </c>
      <c r="D136" s="10" t="str">
        <f t="shared" si="10"/>
        <v>Different</v>
      </c>
      <c r="E136" s="11">
        <v>18.89</v>
      </c>
      <c r="F136" s="11">
        <v>4.1100000000000003</v>
      </c>
      <c r="G136" s="12">
        <f t="shared" si="11"/>
        <v>0.21757543673901536</v>
      </c>
      <c r="H136" s="11">
        <v>1.5</v>
      </c>
      <c r="I136" s="13">
        <v>0.72222222222222221</v>
      </c>
      <c r="J136" s="13">
        <v>0.7402777777777777</v>
      </c>
      <c r="K136" s="44">
        <f>Table3[[#This Row],[Delivery Time]]-Table3[[#This Row],[Order Time]]</f>
        <v>1.8055555555555491E-2</v>
      </c>
      <c r="L136" s="43">
        <v>26</v>
      </c>
      <c r="M136" s="10" t="s">
        <v>0</v>
      </c>
      <c r="N136" s="14"/>
      <c r="O136" s="14" t="s">
        <v>39</v>
      </c>
      <c r="P136" s="10" t="s">
        <v>20</v>
      </c>
      <c r="Q136" s="10"/>
    </row>
    <row r="137" spans="1:17" x14ac:dyDescent="0.25">
      <c r="A137" s="17">
        <f t="shared" si="8"/>
        <v>136</v>
      </c>
      <c r="B137" s="18">
        <v>42956</v>
      </c>
      <c r="C137" s="18" t="str">
        <f t="shared" si="9"/>
        <v>Wednesday</v>
      </c>
      <c r="D137" s="10" t="str">
        <f t="shared" si="10"/>
        <v>Same</v>
      </c>
      <c r="E137" s="11">
        <v>52.18</v>
      </c>
      <c r="F137" s="11">
        <v>5</v>
      </c>
      <c r="G137" s="12">
        <f t="shared" si="11"/>
        <v>9.5822154082023769E-2</v>
      </c>
      <c r="H137" s="11">
        <v>1.5</v>
      </c>
      <c r="I137" s="13">
        <v>0.74583333333333324</v>
      </c>
      <c r="J137" s="13">
        <v>0.77569444444444446</v>
      </c>
      <c r="K137" s="44">
        <f>Table3[[#This Row],[Delivery Time]]-Table3[[#This Row],[Order Time]]</f>
        <v>2.9861111111111227E-2</v>
      </c>
      <c r="L137" s="43">
        <v>43</v>
      </c>
      <c r="M137" s="10" t="s">
        <v>0</v>
      </c>
      <c r="N137" s="14"/>
      <c r="O137" s="14" t="s">
        <v>39</v>
      </c>
      <c r="P137" s="10" t="s">
        <v>20</v>
      </c>
      <c r="Q137" s="10"/>
    </row>
    <row r="138" spans="1:17" x14ac:dyDescent="0.25">
      <c r="A138" s="17">
        <f t="shared" si="8"/>
        <v>137</v>
      </c>
      <c r="B138" s="18">
        <v>42956</v>
      </c>
      <c r="C138" s="18" t="str">
        <f t="shared" si="9"/>
        <v>Wednesday</v>
      </c>
      <c r="D138" s="10" t="str">
        <f t="shared" si="10"/>
        <v>Same</v>
      </c>
      <c r="E138" s="11">
        <v>42.98</v>
      </c>
      <c r="F138" s="11">
        <v>6</v>
      </c>
      <c r="G138" s="12">
        <f t="shared" si="11"/>
        <v>0.13959981386691486</v>
      </c>
      <c r="H138" s="11">
        <v>1.5</v>
      </c>
      <c r="I138" s="13">
        <v>0.75416666666666676</v>
      </c>
      <c r="J138" s="13">
        <v>0.77916666666666667</v>
      </c>
      <c r="K138" s="44">
        <f>Table3[[#This Row],[Delivery Time]]-Table3[[#This Row],[Order Time]]</f>
        <v>2.4999999999999911E-2</v>
      </c>
      <c r="L138" s="43">
        <v>36</v>
      </c>
      <c r="M138" s="10" t="s">
        <v>0</v>
      </c>
      <c r="N138" s="14"/>
      <c r="O138" s="14" t="s">
        <v>39</v>
      </c>
      <c r="P138" s="10" t="s">
        <v>20</v>
      </c>
      <c r="Q138" s="10"/>
    </row>
    <row r="139" spans="1:17" x14ac:dyDescent="0.25">
      <c r="A139" s="17">
        <f t="shared" si="8"/>
        <v>138</v>
      </c>
      <c r="B139" s="18">
        <v>42956</v>
      </c>
      <c r="C139" s="18" t="str">
        <f t="shared" si="9"/>
        <v>Wednesday</v>
      </c>
      <c r="D139" s="10" t="str">
        <f t="shared" si="10"/>
        <v>Same</v>
      </c>
      <c r="E139" s="11">
        <v>45.68</v>
      </c>
      <c r="F139" s="11">
        <v>5</v>
      </c>
      <c r="G139" s="12">
        <f t="shared" si="11"/>
        <v>0.10945709281961472</v>
      </c>
      <c r="H139" s="11">
        <v>1.5</v>
      </c>
      <c r="I139" s="13">
        <v>0.75486111111111109</v>
      </c>
      <c r="J139" s="13">
        <v>0.78541666666666676</v>
      </c>
      <c r="K139" s="44">
        <f>Table3[[#This Row],[Delivery Time]]-Table3[[#This Row],[Order Time]]</f>
        <v>3.0555555555555669E-2</v>
      </c>
      <c r="L139" s="43">
        <v>44</v>
      </c>
      <c r="M139" s="10" t="s">
        <v>0</v>
      </c>
      <c r="N139" s="14"/>
      <c r="O139" s="14" t="s">
        <v>39</v>
      </c>
      <c r="P139" s="10" t="s">
        <v>20</v>
      </c>
      <c r="Q139" s="10"/>
    </row>
    <row r="140" spans="1:17" x14ac:dyDescent="0.25">
      <c r="A140" s="17">
        <f t="shared" si="8"/>
        <v>139</v>
      </c>
      <c r="B140" s="18">
        <v>42956</v>
      </c>
      <c r="C140" s="18" t="str">
        <f t="shared" si="9"/>
        <v>Wednesday</v>
      </c>
      <c r="D140" s="10" t="str">
        <f t="shared" si="10"/>
        <v>Same</v>
      </c>
      <c r="E140" s="11">
        <v>20.57</v>
      </c>
      <c r="F140" s="11">
        <v>8</v>
      </c>
      <c r="G140" s="12">
        <f t="shared" si="11"/>
        <v>0.38891589693728729</v>
      </c>
      <c r="H140" s="11">
        <v>5</v>
      </c>
      <c r="I140" s="13">
        <v>0.7909722222222223</v>
      </c>
      <c r="J140" s="13">
        <v>0.81597222222222221</v>
      </c>
      <c r="K140" s="44">
        <f>Table3[[#This Row],[Delivery Time]]-Table3[[#This Row],[Order Time]]</f>
        <v>2.4999999999999911E-2</v>
      </c>
      <c r="L140" s="43">
        <v>36</v>
      </c>
      <c r="M140" s="10" t="s">
        <v>36</v>
      </c>
      <c r="N140" s="14"/>
      <c r="O140" s="14" t="s">
        <v>39</v>
      </c>
      <c r="P140" s="10" t="s">
        <v>20</v>
      </c>
      <c r="Q140" s="10"/>
    </row>
    <row r="141" spans="1:17" x14ac:dyDescent="0.25">
      <c r="A141" s="17">
        <f t="shared" si="8"/>
        <v>140</v>
      </c>
      <c r="B141" s="18">
        <v>42956</v>
      </c>
      <c r="C141" s="18" t="str">
        <f t="shared" si="9"/>
        <v>Wednesday</v>
      </c>
      <c r="D141" s="10" t="str">
        <f t="shared" si="10"/>
        <v>Same</v>
      </c>
      <c r="E141" s="11">
        <v>28.69</v>
      </c>
      <c r="F141" s="11">
        <v>21.31</v>
      </c>
      <c r="G141" s="12">
        <f t="shared" si="11"/>
        <v>0.74276751481352377</v>
      </c>
      <c r="H141" s="11">
        <v>1.5</v>
      </c>
      <c r="I141" s="13">
        <v>0.84027777777777779</v>
      </c>
      <c r="J141" s="13">
        <v>0.85416666666666663</v>
      </c>
      <c r="K141" s="44">
        <f>Table3[[#This Row],[Delivery Time]]-Table3[[#This Row],[Order Time]]</f>
        <v>1.388888888888884E-2</v>
      </c>
      <c r="L141" s="43">
        <v>20</v>
      </c>
      <c r="M141" s="10" t="s">
        <v>0</v>
      </c>
      <c r="N141" s="14"/>
      <c r="O141" s="14" t="s">
        <v>39</v>
      </c>
      <c r="P141" s="10" t="s">
        <v>20</v>
      </c>
      <c r="Q141" s="10"/>
    </row>
    <row r="142" spans="1:17" x14ac:dyDescent="0.25">
      <c r="A142" s="17">
        <f t="shared" si="8"/>
        <v>141</v>
      </c>
      <c r="B142" s="18">
        <v>42958</v>
      </c>
      <c r="C142" s="18" t="str">
        <f t="shared" si="9"/>
        <v>Friday</v>
      </c>
      <c r="D142" s="10" t="str">
        <f t="shared" si="10"/>
        <v>Different</v>
      </c>
      <c r="E142" s="11">
        <v>58.46</v>
      </c>
      <c r="F142" s="11">
        <v>10</v>
      </c>
      <c r="G142" s="12">
        <f t="shared" si="11"/>
        <v>0.17105713308244955</v>
      </c>
      <c r="H142" s="11">
        <v>1.5</v>
      </c>
      <c r="I142" s="13">
        <v>0.71250000000000002</v>
      </c>
      <c r="J142" s="13">
        <v>0.73958333333333337</v>
      </c>
      <c r="K142" s="44">
        <f>Table3[[#This Row],[Delivery Time]]-Table3[[#This Row],[Order Time]]</f>
        <v>2.7083333333333348E-2</v>
      </c>
      <c r="L142" s="43">
        <v>39</v>
      </c>
      <c r="M142" s="10" t="s">
        <v>11</v>
      </c>
      <c r="N142" s="14"/>
      <c r="O142" s="14" t="s">
        <v>39</v>
      </c>
      <c r="P142" s="10" t="s">
        <v>20</v>
      </c>
      <c r="Q142" s="10"/>
    </row>
    <row r="143" spans="1:17" x14ac:dyDescent="0.25">
      <c r="A143" s="17">
        <f t="shared" si="8"/>
        <v>142</v>
      </c>
      <c r="B143" s="18">
        <v>42958</v>
      </c>
      <c r="C143" s="18" t="str">
        <f t="shared" si="9"/>
        <v>Friday</v>
      </c>
      <c r="D143" s="10" t="str">
        <f t="shared" si="10"/>
        <v>Same</v>
      </c>
      <c r="E143" s="11">
        <v>44.06</v>
      </c>
      <c r="F143" s="11">
        <v>7</v>
      </c>
      <c r="G143" s="12">
        <f t="shared" si="11"/>
        <v>0.15887426236949614</v>
      </c>
      <c r="H143" s="11">
        <v>1.5</v>
      </c>
      <c r="I143" s="13">
        <v>0.72013888888888899</v>
      </c>
      <c r="J143" s="13">
        <v>0.74791666666666667</v>
      </c>
      <c r="K143" s="44">
        <f>Table3[[#This Row],[Delivery Time]]-Table3[[#This Row],[Order Time]]</f>
        <v>2.7777777777777679E-2</v>
      </c>
      <c r="L143" s="43">
        <v>40</v>
      </c>
      <c r="M143" s="10" t="s">
        <v>11</v>
      </c>
      <c r="N143" s="14"/>
      <c r="O143" s="14" t="s">
        <v>39</v>
      </c>
      <c r="P143" s="10" t="s">
        <v>20</v>
      </c>
      <c r="Q143" s="10"/>
    </row>
    <row r="144" spans="1:17" x14ac:dyDescent="0.25">
      <c r="A144" s="17">
        <f t="shared" si="8"/>
        <v>143</v>
      </c>
      <c r="B144" s="18">
        <v>42958</v>
      </c>
      <c r="C144" s="18" t="str">
        <f t="shared" si="9"/>
        <v>Friday</v>
      </c>
      <c r="D144" s="10" t="str">
        <f t="shared" si="10"/>
        <v>Same</v>
      </c>
      <c r="E144" s="11">
        <v>43.73</v>
      </c>
      <c r="F144" s="11">
        <v>10</v>
      </c>
      <c r="G144" s="12">
        <f t="shared" si="11"/>
        <v>0.22867596615595703</v>
      </c>
      <c r="H144" s="11">
        <v>1.5</v>
      </c>
      <c r="I144" s="13">
        <v>0.76458333333333339</v>
      </c>
      <c r="J144" s="13">
        <v>0.78055555555555556</v>
      </c>
      <c r="K144" s="44">
        <f>Table3[[#This Row],[Delivery Time]]-Table3[[#This Row],[Order Time]]</f>
        <v>1.5972222222222165E-2</v>
      </c>
      <c r="L144" s="43">
        <v>23.000000000000004</v>
      </c>
      <c r="M144" s="10" t="s">
        <v>0</v>
      </c>
      <c r="N144" s="14"/>
      <c r="O144" s="14" t="s">
        <v>39</v>
      </c>
      <c r="P144" s="10" t="s">
        <v>20</v>
      </c>
      <c r="Q144" s="10"/>
    </row>
    <row r="145" spans="1:17" x14ac:dyDescent="0.25">
      <c r="A145" s="17">
        <f t="shared" si="8"/>
        <v>144</v>
      </c>
      <c r="B145" s="18">
        <v>42958</v>
      </c>
      <c r="C145" s="18" t="str">
        <f t="shared" si="9"/>
        <v>Friday</v>
      </c>
      <c r="D145" s="10" t="str">
        <f t="shared" si="10"/>
        <v>Same</v>
      </c>
      <c r="E145" s="11">
        <v>56.83</v>
      </c>
      <c r="F145" s="11">
        <v>10</v>
      </c>
      <c r="G145" s="12">
        <f t="shared" si="11"/>
        <v>0.17596339961288052</v>
      </c>
      <c r="H145" s="11">
        <v>1.5</v>
      </c>
      <c r="I145" s="13">
        <v>0.79652777777777783</v>
      </c>
      <c r="J145" s="13">
        <v>0.81736111111111109</v>
      </c>
      <c r="K145" s="44">
        <f>Table3[[#This Row],[Delivery Time]]-Table3[[#This Row],[Order Time]]</f>
        <v>2.0833333333333259E-2</v>
      </c>
      <c r="L145" s="43">
        <v>30</v>
      </c>
      <c r="M145" s="10" t="s">
        <v>0</v>
      </c>
      <c r="N145" s="14"/>
      <c r="O145" s="14" t="s">
        <v>39</v>
      </c>
      <c r="P145" s="10" t="s">
        <v>20</v>
      </c>
      <c r="Q145" s="10"/>
    </row>
    <row r="146" spans="1:17" x14ac:dyDescent="0.25">
      <c r="A146" s="17">
        <f t="shared" si="8"/>
        <v>145</v>
      </c>
      <c r="B146" s="18">
        <v>42958</v>
      </c>
      <c r="C146" s="18" t="str">
        <f t="shared" si="9"/>
        <v>Friday</v>
      </c>
      <c r="D146" s="10" t="str">
        <f t="shared" si="10"/>
        <v>Same</v>
      </c>
      <c r="E146" s="11">
        <v>22.41</v>
      </c>
      <c r="F146" s="11">
        <v>10</v>
      </c>
      <c r="G146" s="12">
        <f t="shared" si="11"/>
        <v>0.44622936189201251</v>
      </c>
      <c r="H146" s="11">
        <v>1.5</v>
      </c>
      <c r="I146" s="13">
        <v>0.83472222222222225</v>
      </c>
      <c r="J146" s="13">
        <v>0.85277777777777775</v>
      </c>
      <c r="K146" s="44">
        <f>Table3[[#This Row],[Delivery Time]]-Table3[[#This Row],[Order Time]]</f>
        <v>1.8055555555555491E-2</v>
      </c>
      <c r="L146" s="43">
        <v>26</v>
      </c>
      <c r="M146" s="10" t="s">
        <v>11</v>
      </c>
      <c r="N146" s="14"/>
      <c r="O146" s="14" t="s">
        <v>40</v>
      </c>
      <c r="P146" s="10" t="s">
        <v>20</v>
      </c>
      <c r="Q146" s="10"/>
    </row>
    <row r="147" spans="1:17" x14ac:dyDescent="0.25">
      <c r="A147" s="17">
        <f t="shared" si="8"/>
        <v>146</v>
      </c>
      <c r="B147" s="18">
        <v>42958</v>
      </c>
      <c r="C147" s="18" t="str">
        <f t="shared" si="9"/>
        <v>Friday</v>
      </c>
      <c r="D147" s="10" t="str">
        <f t="shared" si="10"/>
        <v>Same</v>
      </c>
      <c r="E147" s="11">
        <v>37.020000000000003</v>
      </c>
      <c r="F147" s="11">
        <v>8</v>
      </c>
      <c r="G147" s="12">
        <f t="shared" si="11"/>
        <v>0.21609940572663425</v>
      </c>
      <c r="H147" s="11">
        <v>5</v>
      </c>
      <c r="I147" s="13">
        <v>0.86458333333333337</v>
      </c>
      <c r="J147" s="13">
        <v>0.86458333333333337</v>
      </c>
      <c r="K147" s="44">
        <f>Table3[[#This Row],[Delivery Time]]-Table3[[#This Row],[Order Time]]</f>
        <v>0</v>
      </c>
      <c r="L147" s="43">
        <v>0</v>
      </c>
      <c r="M147" s="10" t="s">
        <v>11</v>
      </c>
      <c r="N147" s="14"/>
      <c r="O147" s="14" t="s">
        <v>39</v>
      </c>
      <c r="P147" s="10" t="s">
        <v>16</v>
      </c>
      <c r="Q147" s="10"/>
    </row>
    <row r="148" spans="1:17" x14ac:dyDescent="0.25">
      <c r="A148" s="17">
        <f t="shared" si="8"/>
        <v>147</v>
      </c>
      <c r="B148" s="18">
        <v>42959</v>
      </c>
      <c r="C148" s="18" t="str">
        <f t="shared" si="9"/>
        <v>Saturday</v>
      </c>
      <c r="D148" s="10" t="str">
        <f t="shared" si="10"/>
        <v>Different</v>
      </c>
      <c r="E148" s="11">
        <v>27.06</v>
      </c>
      <c r="F148" s="11">
        <v>4</v>
      </c>
      <c r="G148" s="12">
        <f t="shared" si="11"/>
        <v>0.14781966001478197</v>
      </c>
      <c r="H148" s="11">
        <v>1.5</v>
      </c>
      <c r="I148" s="13">
        <v>0.70763888888888893</v>
      </c>
      <c r="J148" s="13">
        <v>0.73333333333333339</v>
      </c>
      <c r="K148" s="44">
        <f>Table3[[#This Row],[Delivery Time]]-Table3[[#This Row],[Order Time]]</f>
        <v>2.5694444444444464E-2</v>
      </c>
      <c r="L148" s="43">
        <v>37</v>
      </c>
      <c r="M148" s="10" t="s">
        <v>0</v>
      </c>
      <c r="N148" s="14"/>
      <c r="O148" s="14" t="s">
        <v>41</v>
      </c>
      <c r="P148" s="10" t="s">
        <v>20</v>
      </c>
      <c r="Q148" s="10"/>
    </row>
    <row r="149" spans="1:17" x14ac:dyDescent="0.25">
      <c r="A149" s="17">
        <f t="shared" si="8"/>
        <v>148</v>
      </c>
      <c r="B149" s="18">
        <v>42959</v>
      </c>
      <c r="C149" s="18" t="str">
        <f t="shared" si="9"/>
        <v>Saturday</v>
      </c>
      <c r="D149" s="10" t="str">
        <f t="shared" si="10"/>
        <v>Same</v>
      </c>
      <c r="E149" s="11">
        <v>17.59</v>
      </c>
      <c r="F149" s="11">
        <v>5</v>
      </c>
      <c r="G149" s="12">
        <f t="shared" si="11"/>
        <v>0.28425241614553726</v>
      </c>
      <c r="H149" s="11">
        <v>1.5</v>
      </c>
      <c r="I149" s="13">
        <v>0.71527777777777779</v>
      </c>
      <c r="J149" s="13">
        <v>0.74305555555555547</v>
      </c>
      <c r="K149" s="44">
        <f>Table3[[#This Row],[Delivery Time]]-Table3[[#This Row],[Order Time]]</f>
        <v>2.7777777777777679E-2</v>
      </c>
      <c r="L149" s="43">
        <v>40</v>
      </c>
      <c r="M149" s="10" t="s">
        <v>0</v>
      </c>
      <c r="N149" s="14"/>
      <c r="O149" s="14" t="s">
        <v>41</v>
      </c>
      <c r="P149" s="10" t="s">
        <v>20</v>
      </c>
      <c r="Q149" s="10"/>
    </row>
    <row r="150" spans="1:17" x14ac:dyDescent="0.25">
      <c r="A150" s="17">
        <f t="shared" si="8"/>
        <v>149</v>
      </c>
      <c r="B150" s="18">
        <v>42959</v>
      </c>
      <c r="C150" s="18" t="str">
        <f t="shared" si="9"/>
        <v>Saturday</v>
      </c>
      <c r="D150" s="10" t="str">
        <f t="shared" si="10"/>
        <v>Same</v>
      </c>
      <c r="E150" s="11">
        <v>38.1</v>
      </c>
      <c r="F150" s="11">
        <v>5</v>
      </c>
      <c r="G150" s="12">
        <f t="shared" si="11"/>
        <v>0.13123359580052493</v>
      </c>
      <c r="H150" s="11">
        <v>1.5</v>
      </c>
      <c r="I150" s="13">
        <v>0.74236111111111114</v>
      </c>
      <c r="J150" s="13">
        <v>0.76388888888888884</v>
      </c>
      <c r="K150" s="44">
        <f>Table3[[#This Row],[Delivery Time]]-Table3[[#This Row],[Order Time]]</f>
        <v>2.1527777777777701E-2</v>
      </c>
      <c r="L150" s="43">
        <v>31.000000000000004</v>
      </c>
      <c r="M150" s="10" t="s">
        <v>11</v>
      </c>
      <c r="N150" s="14"/>
      <c r="O150" s="14" t="s">
        <v>39</v>
      </c>
      <c r="P150" s="10" t="s">
        <v>20</v>
      </c>
      <c r="Q150" s="10"/>
    </row>
    <row r="151" spans="1:17" x14ac:dyDescent="0.25">
      <c r="A151" s="17">
        <f t="shared" si="8"/>
        <v>150</v>
      </c>
      <c r="B151" s="18">
        <v>42959</v>
      </c>
      <c r="C151" s="18" t="str">
        <f t="shared" si="9"/>
        <v>Saturday</v>
      </c>
      <c r="D151" s="10" t="str">
        <f t="shared" si="10"/>
        <v>Same</v>
      </c>
      <c r="E151" s="11">
        <v>38.700000000000003</v>
      </c>
      <c r="F151" s="11">
        <v>4</v>
      </c>
      <c r="G151" s="12">
        <f t="shared" si="11"/>
        <v>0.10335917312661498</v>
      </c>
      <c r="H151" s="11">
        <v>1.5</v>
      </c>
      <c r="I151" s="13">
        <v>0.77083333333333337</v>
      </c>
      <c r="J151" s="13">
        <v>0.79513888888888884</v>
      </c>
      <c r="K151" s="44">
        <f>Table3[[#This Row],[Delivery Time]]-Table3[[#This Row],[Order Time]]</f>
        <v>2.4305555555555469E-2</v>
      </c>
      <c r="L151" s="43">
        <v>35</v>
      </c>
      <c r="M151" s="10" t="s">
        <v>11</v>
      </c>
      <c r="N151" s="14"/>
      <c r="O151" s="14" t="s">
        <v>39</v>
      </c>
      <c r="P151" s="10" t="s">
        <v>20</v>
      </c>
      <c r="Q151" s="10"/>
    </row>
    <row r="152" spans="1:17" x14ac:dyDescent="0.25">
      <c r="A152" s="17">
        <f t="shared" si="8"/>
        <v>151</v>
      </c>
      <c r="B152" s="18">
        <v>42959</v>
      </c>
      <c r="C152" s="18" t="str">
        <f t="shared" si="9"/>
        <v>Saturday</v>
      </c>
      <c r="D152" s="10" t="str">
        <f t="shared" si="10"/>
        <v>Same</v>
      </c>
      <c r="E152" s="11">
        <v>46.22</v>
      </c>
      <c r="F152" s="11">
        <v>3.78</v>
      </c>
      <c r="G152" s="12">
        <f t="shared" si="11"/>
        <v>8.1782778018173949E-2</v>
      </c>
      <c r="H152" s="11">
        <v>1.5</v>
      </c>
      <c r="I152" s="13">
        <v>0.80902777777777779</v>
      </c>
      <c r="J152" s="13">
        <v>0.83472222222222225</v>
      </c>
      <c r="K152" s="44">
        <f>Table3[[#This Row],[Delivery Time]]-Table3[[#This Row],[Order Time]]</f>
        <v>2.5694444444444464E-2</v>
      </c>
      <c r="L152" s="43">
        <v>37</v>
      </c>
      <c r="M152" s="10" t="s">
        <v>12</v>
      </c>
      <c r="N152" s="14"/>
      <c r="O152" s="14" t="s">
        <v>39</v>
      </c>
      <c r="P152" s="10" t="s">
        <v>20</v>
      </c>
      <c r="Q152" s="10"/>
    </row>
    <row r="153" spans="1:17" x14ac:dyDescent="0.25">
      <c r="A153" s="17">
        <f t="shared" si="8"/>
        <v>152</v>
      </c>
      <c r="B153" s="18">
        <v>42959</v>
      </c>
      <c r="C153" s="18" t="str">
        <f t="shared" si="9"/>
        <v>Saturday</v>
      </c>
      <c r="D153" s="10" t="str">
        <f t="shared" si="10"/>
        <v>Same</v>
      </c>
      <c r="E153" s="11">
        <v>67.010000000000005</v>
      </c>
      <c r="F153" s="11">
        <v>12.99</v>
      </c>
      <c r="G153" s="12">
        <f t="shared" si="11"/>
        <v>0.19385166393075659</v>
      </c>
      <c r="H153" s="11">
        <v>1.5</v>
      </c>
      <c r="I153" s="13">
        <v>0.81527777777777777</v>
      </c>
      <c r="J153" s="13">
        <v>0.84791666666666676</v>
      </c>
      <c r="K153" s="44">
        <f>Table3[[#This Row],[Delivery Time]]-Table3[[#This Row],[Order Time]]</f>
        <v>3.2638888888888995E-2</v>
      </c>
      <c r="L153" s="43">
        <v>47.000000000000007</v>
      </c>
      <c r="M153" s="10" t="s">
        <v>0</v>
      </c>
      <c r="N153" s="14" t="s">
        <v>25</v>
      </c>
      <c r="O153" s="14" t="s">
        <v>39</v>
      </c>
      <c r="P153" s="10" t="s">
        <v>20</v>
      </c>
      <c r="Q153" s="10"/>
    </row>
    <row r="154" spans="1:17" x14ac:dyDescent="0.25">
      <c r="A154" s="17">
        <f t="shared" si="8"/>
        <v>153</v>
      </c>
      <c r="B154" s="18">
        <v>42959</v>
      </c>
      <c r="C154" s="18" t="str">
        <f t="shared" si="9"/>
        <v>Saturday</v>
      </c>
      <c r="D154" s="10" t="str">
        <f t="shared" si="10"/>
        <v>Same</v>
      </c>
      <c r="E154" s="11">
        <v>22.41</v>
      </c>
      <c r="F154" s="11">
        <v>7.59</v>
      </c>
      <c r="G154" s="12">
        <f t="shared" si="11"/>
        <v>0.33868808567603748</v>
      </c>
      <c r="H154" s="11">
        <v>1.5</v>
      </c>
      <c r="I154" s="13">
        <v>0.85138888888888886</v>
      </c>
      <c r="J154" s="13">
        <v>0.87638888888888899</v>
      </c>
      <c r="K154" s="44">
        <f>Table3[[#This Row],[Delivery Time]]-Table3[[#This Row],[Order Time]]</f>
        <v>2.5000000000000133E-2</v>
      </c>
      <c r="L154" s="43">
        <v>36</v>
      </c>
      <c r="M154" s="10" t="s">
        <v>0</v>
      </c>
      <c r="N154" s="14" t="s">
        <v>24</v>
      </c>
      <c r="O154" s="14" t="s">
        <v>39</v>
      </c>
      <c r="P154" s="10" t="s">
        <v>20</v>
      </c>
      <c r="Q154" s="10"/>
    </row>
    <row r="155" spans="1:17" x14ac:dyDescent="0.25">
      <c r="A155" s="17">
        <f t="shared" si="8"/>
        <v>154</v>
      </c>
      <c r="B155" s="18">
        <v>42960</v>
      </c>
      <c r="C155" s="18" t="str">
        <f t="shared" si="9"/>
        <v>Sunday</v>
      </c>
      <c r="D155" s="10" t="str">
        <f t="shared" si="10"/>
        <v>Different</v>
      </c>
      <c r="E155" s="11">
        <v>25.66</v>
      </c>
      <c r="F155" s="11">
        <v>5.34</v>
      </c>
      <c r="G155" s="12">
        <f t="shared" si="11"/>
        <v>0.20810600155884645</v>
      </c>
      <c r="H155" s="11">
        <v>1.5</v>
      </c>
      <c r="I155" s="13">
        <v>0.71458333333333324</v>
      </c>
      <c r="J155" s="13">
        <v>0.73611111111111116</v>
      </c>
      <c r="K155" s="44">
        <f>Table3[[#This Row],[Delivery Time]]-Table3[[#This Row],[Order Time]]</f>
        <v>2.1527777777777923E-2</v>
      </c>
      <c r="L155" s="43">
        <v>31.000000000000004</v>
      </c>
      <c r="M155" s="10" t="s">
        <v>11</v>
      </c>
      <c r="N155" s="14"/>
      <c r="O155" s="14" t="s">
        <v>41</v>
      </c>
      <c r="P155" s="10" t="s">
        <v>20</v>
      </c>
      <c r="Q155" s="10"/>
    </row>
    <row r="156" spans="1:17" x14ac:dyDescent="0.25">
      <c r="A156" s="17">
        <f t="shared" si="8"/>
        <v>155</v>
      </c>
      <c r="B156" s="18">
        <v>42960</v>
      </c>
      <c r="C156" s="18" t="str">
        <f t="shared" si="9"/>
        <v>Sunday</v>
      </c>
      <c r="D156" s="10" t="str">
        <f t="shared" si="10"/>
        <v>Same</v>
      </c>
      <c r="E156" s="11">
        <v>36.97</v>
      </c>
      <c r="F156" s="11">
        <v>1.5</v>
      </c>
      <c r="G156" s="12">
        <f t="shared" si="11"/>
        <v>4.0573437922639982E-2</v>
      </c>
      <c r="H156" s="11">
        <v>1.5</v>
      </c>
      <c r="I156" s="13">
        <v>0.74652777777777779</v>
      </c>
      <c r="J156" s="13">
        <v>0.76388888888888884</v>
      </c>
      <c r="K156" s="44">
        <f>Table3[[#This Row],[Delivery Time]]-Table3[[#This Row],[Order Time]]</f>
        <v>1.7361111111111049E-2</v>
      </c>
      <c r="L156" s="43">
        <v>25</v>
      </c>
      <c r="M156" s="10" t="s">
        <v>11</v>
      </c>
      <c r="N156" s="14"/>
      <c r="O156" s="14" t="s">
        <v>39</v>
      </c>
      <c r="P156" s="10" t="s">
        <v>20</v>
      </c>
      <c r="Q156" s="10"/>
    </row>
    <row r="157" spans="1:17" x14ac:dyDescent="0.25">
      <c r="A157" s="17">
        <f t="shared" si="8"/>
        <v>156</v>
      </c>
      <c r="B157" s="18">
        <v>42960</v>
      </c>
      <c r="C157" s="18" t="str">
        <f t="shared" si="9"/>
        <v>Sunday</v>
      </c>
      <c r="D157" s="10" t="str">
        <f t="shared" si="10"/>
        <v>Same</v>
      </c>
      <c r="E157" s="11">
        <v>18.89</v>
      </c>
      <c r="F157" s="11">
        <v>3.11</v>
      </c>
      <c r="G157" s="12">
        <f t="shared" si="11"/>
        <v>0.16463737427210162</v>
      </c>
      <c r="H157" s="11">
        <v>1.5</v>
      </c>
      <c r="I157" s="13">
        <v>0.76180555555555562</v>
      </c>
      <c r="J157" s="13">
        <v>0.7895833333333333</v>
      </c>
      <c r="K157" s="44">
        <f>Table3[[#This Row],[Delivery Time]]-Table3[[#This Row],[Order Time]]</f>
        <v>2.7777777777777679E-2</v>
      </c>
      <c r="L157" s="43">
        <v>40</v>
      </c>
      <c r="M157" s="10" t="s">
        <v>0</v>
      </c>
      <c r="N157" s="14"/>
      <c r="O157" s="14" t="s">
        <v>41</v>
      </c>
      <c r="P157" s="10" t="s">
        <v>20</v>
      </c>
      <c r="Q157" s="10"/>
    </row>
    <row r="158" spans="1:17" x14ac:dyDescent="0.25">
      <c r="A158" s="17">
        <f t="shared" si="8"/>
        <v>157</v>
      </c>
      <c r="B158" s="18">
        <v>42960</v>
      </c>
      <c r="C158" s="18" t="str">
        <f t="shared" si="9"/>
        <v>Sunday</v>
      </c>
      <c r="D158" s="10" t="str">
        <f t="shared" si="10"/>
        <v>Same</v>
      </c>
      <c r="E158" s="11">
        <v>20.78</v>
      </c>
      <c r="F158" s="11">
        <v>5</v>
      </c>
      <c r="G158" s="12">
        <f t="shared" si="11"/>
        <v>0.2406159769008662</v>
      </c>
      <c r="H158" s="11">
        <v>5</v>
      </c>
      <c r="I158" s="13">
        <v>0.78125</v>
      </c>
      <c r="J158" s="13">
        <v>0.81666666666666676</v>
      </c>
      <c r="K158" s="44">
        <f>Table3[[#This Row],[Delivery Time]]-Table3[[#This Row],[Order Time]]</f>
        <v>3.5416666666666763E-2</v>
      </c>
      <c r="L158" s="43">
        <v>51</v>
      </c>
      <c r="M158" s="10" t="s">
        <v>0</v>
      </c>
      <c r="N158" s="14"/>
      <c r="O158" s="14" t="s">
        <v>39</v>
      </c>
      <c r="P158" s="10" t="s">
        <v>20</v>
      </c>
      <c r="Q158" s="10"/>
    </row>
    <row r="159" spans="1:17" x14ac:dyDescent="0.25">
      <c r="A159" s="17">
        <f t="shared" si="8"/>
        <v>158</v>
      </c>
      <c r="B159" s="18">
        <v>42960</v>
      </c>
      <c r="C159" s="18" t="str">
        <f t="shared" si="9"/>
        <v>Sunday</v>
      </c>
      <c r="D159" s="10" t="str">
        <f t="shared" si="10"/>
        <v>Same</v>
      </c>
      <c r="E159" s="11">
        <v>42.59</v>
      </c>
      <c r="F159" s="11">
        <v>8</v>
      </c>
      <c r="G159" s="12">
        <f t="shared" si="11"/>
        <v>0.1878375205447288</v>
      </c>
      <c r="H159" s="11">
        <v>7</v>
      </c>
      <c r="I159" s="13">
        <v>0.7909722222222223</v>
      </c>
      <c r="J159" s="13">
        <v>0.82361111111111107</v>
      </c>
      <c r="K159" s="44">
        <f>Table3[[#This Row],[Delivery Time]]-Table3[[#This Row],[Order Time]]</f>
        <v>3.2638888888888773E-2</v>
      </c>
      <c r="L159" s="43">
        <v>47.000000000000007</v>
      </c>
      <c r="M159" s="10" t="s">
        <v>0</v>
      </c>
      <c r="N159" s="14"/>
      <c r="O159" s="14" t="s">
        <v>39</v>
      </c>
      <c r="P159" s="10" t="s">
        <v>20</v>
      </c>
      <c r="Q159" s="10"/>
    </row>
    <row r="160" spans="1:17" x14ac:dyDescent="0.25">
      <c r="A160" s="17">
        <f t="shared" si="8"/>
        <v>159</v>
      </c>
      <c r="B160" s="18">
        <v>42960</v>
      </c>
      <c r="C160" s="18" t="str">
        <f t="shared" si="9"/>
        <v>Sunday</v>
      </c>
      <c r="D160" s="10" t="str">
        <f t="shared" si="10"/>
        <v>Same</v>
      </c>
      <c r="E160" s="11">
        <v>17.32</v>
      </c>
      <c r="F160" s="11">
        <v>5</v>
      </c>
      <c r="G160" s="12">
        <f t="shared" si="11"/>
        <v>0.28868360277136257</v>
      </c>
      <c r="H160" s="11">
        <v>1.5</v>
      </c>
      <c r="I160" s="13">
        <v>0.82291666666666663</v>
      </c>
      <c r="J160" s="13">
        <v>0.85277777777777775</v>
      </c>
      <c r="K160" s="44">
        <f>Table3[[#This Row],[Delivery Time]]-Table3[[#This Row],[Order Time]]</f>
        <v>2.9861111111111116E-2</v>
      </c>
      <c r="L160" s="43">
        <v>43</v>
      </c>
      <c r="M160" s="10" t="s">
        <v>11</v>
      </c>
      <c r="N160" s="14"/>
      <c r="O160" s="14" t="s">
        <v>41</v>
      </c>
      <c r="P160" s="10" t="s">
        <v>20</v>
      </c>
      <c r="Q160" s="10"/>
    </row>
    <row r="161" spans="1:17" x14ac:dyDescent="0.25">
      <c r="A161" s="17">
        <f t="shared" si="8"/>
        <v>160</v>
      </c>
      <c r="B161" s="18">
        <v>42960</v>
      </c>
      <c r="C161" s="18" t="str">
        <f t="shared" si="9"/>
        <v>Sunday</v>
      </c>
      <c r="D161" s="10" t="str">
        <f t="shared" si="10"/>
        <v>Same</v>
      </c>
      <c r="E161" s="11">
        <v>22.95</v>
      </c>
      <c r="F161" s="11">
        <v>5.05</v>
      </c>
      <c r="G161" s="12">
        <f t="shared" si="11"/>
        <v>0.22004357298474944</v>
      </c>
      <c r="H161" s="11">
        <v>1.5</v>
      </c>
      <c r="I161" s="13">
        <v>0.84375</v>
      </c>
      <c r="J161" s="13">
        <v>0.87291666666666667</v>
      </c>
      <c r="K161" s="44">
        <f>Table3[[#This Row],[Delivery Time]]-Table3[[#This Row],[Order Time]]</f>
        <v>2.9166666666666674E-2</v>
      </c>
      <c r="L161" s="43">
        <v>42</v>
      </c>
      <c r="M161" s="10" t="s">
        <v>0</v>
      </c>
      <c r="N161" s="14"/>
      <c r="O161" s="14" t="s">
        <v>41</v>
      </c>
      <c r="P161" s="10" t="s">
        <v>20</v>
      </c>
      <c r="Q161" s="10"/>
    </row>
    <row r="162" spans="1:17" x14ac:dyDescent="0.25">
      <c r="A162" s="17">
        <f t="shared" si="8"/>
        <v>161</v>
      </c>
      <c r="B162" s="18">
        <v>42960</v>
      </c>
      <c r="C162" s="18" t="str">
        <f t="shared" si="9"/>
        <v>Sunday</v>
      </c>
      <c r="D162" s="10" t="str">
        <f t="shared" si="10"/>
        <v>Same</v>
      </c>
      <c r="E162" s="11">
        <v>63.59</v>
      </c>
      <c r="F162" s="11">
        <v>2.41</v>
      </c>
      <c r="G162" s="12">
        <f t="shared" si="11"/>
        <v>3.7899040729674476E-2</v>
      </c>
      <c r="H162" s="11">
        <v>7</v>
      </c>
      <c r="I162" s="13">
        <v>0.86597222222222225</v>
      </c>
      <c r="J162" s="13">
        <v>0.90277777777777779</v>
      </c>
      <c r="K162" s="44">
        <f>Table3[[#This Row],[Delivery Time]]-Table3[[#This Row],[Order Time]]</f>
        <v>3.6805555555555536E-2</v>
      </c>
      <c r="L162" s="43">
        <v>53</v>
      </c>
      <c r="M162" s="10" t="s">
        <v>0</v>
      </c>
      <c r="N162" s="14"/>
      <c r="O162" s="14" t="s">
        <v>39</v>
      </c>
      <c r="P162" s="10" t="s">
        <v>20</v>
      </c>
      <c r="Q162" s="10"/>
    </row>
    <row r="163" spans="1:17" x14ac:dyDescent="0.25">
      <c r="A163" s="17">
        <f t="shared" si="8"/>
        <v>162</v>
      </c>
      <c r="B163" s="18">
        <v>42965</v>
      </c>
      <c r="C163" s="18" t="str">
        <f t="shared" si="9"/>
        <v>Friday</v>
      </c>
      <c r="D163" s="10" t="str">
        <f t="shared" si="10"/>
        <v>Different</v>
      </c>
      <c r="E163" s="11">
        <v>18.399999999999999</v>
      </c>
      <c r="F163" s="11">
        <v>3</v>
      </c>
      <c r="G163" s="12">
        <f t="shared" si="11"/>
        <v>0.16304347826086957</v>
      </c>
      <c r="H163" s="11">
        <v>1.5</v>
      </c>
      <c r="I163" s="13">
        <v>0.71597222222222223</v>
      </c>
      <c r="J163" s="13">
        <v>0.7270833333333333</v>
      </c>
      <c r="K163" s="44">
        <f>Table3[[#This Row],[Delivery Time]]-Table3[[#This Row],[Order Time]]</f>
        <v>1.1111111111111072E-2</v>
      </c>
      <c r="L163" s="43">
        <v>16</v>
      </c>
      <c r="M163" s="10" t="s">
        <v>11</v>
      </c>
      <c r="N163" s="14"/>
      <c r="O163" s="14" t="s">
        <v>39</v>
      </c>
      <c r="P163" s="10" t="s">
        <v>20</v>
      </c>
      <c r="Q163" s="10"/>
    </row>
    <row r="164" spans="1:17" x14ac:dyDescent="0.25">
      <c r="A164" s="17">
        <f t="shared" si="8"/>
        <v>163</v>
      </c>
      <c r="B164" s="18">
        <v>42965</v>
      </c>
      <c r="C164" s="18" t="str">
        <f t="shared" si="9"/>
        <v>Friday</v>
      </c>
      <c r="D164" s="10" t="str">
        <f t="shared" si="10"/>
        <v>Same</v>
      </c>
      <c r="E164" s="11">
        <v>46.44</v>
      </c>
      <c r="F164" s="11">
        <v>6</v>
      </c>
      <c r="G164" s="12">
        <f t="shared" si="11"/>
        <v>0.12919896640826875</v>
      </c>
      <c r="H164" s="11">
        <v>1.5</v>
      </c>
      <c r="I164" s="13">
        <v>0.7270833333333333</v>
      </c>
      <c r="J164" s="13">
        <v>0.74930555555555556</v>
      </c>
      <c r="K164" s="44">
        <f>Table3[[#This Row],[Delivery Time]]-Table3[[#This Row],[Order Time]]</f>
        <v>2.2222222222222254E-2</v>
      </c>
      <c r="L164" s="43">
        <v>32</v>
      </c>
      <c r="M164" s="10" t="s">
        <v>0</v>
      </c>
      <c r="N164" s="14"/>
      <c r="O164" s="14" t="s">
        <v>39</v>
      </c>
      <c r="P164" s="10" t="s">
        <v>20</v>
      </c>
      <c r="Q164" s="10"/>
    </row>
    <row r="165" spans="1:17" x14ac:dyDescent="0.25">
      <c r="A165" s="17">
        <f t="shared" si="8"/>
        <v>164</v>
      </c>
      <c r="B165" s="18">
        <v>42965</v>
      </c>
      <c r="C165" s="18" t="str">
        <f t="shared" si="9"/>
        <v>Friday</v>
      </c>
      <c r="D165" s="10" t="str">
        <f t="shared" si="10"/>
        <v>Same</v>
      </c>
      <c r="E165" s="11">
        <v>36.26</v>
      </c>
      <c r="F165" s="11">
        <v>5</v>
      </c>
      <c r="G165" s="12">
        <f t="shared" si="11"/>
        <v>0.13789299503585217</v>
      </c>
      <c r="H165" s="11">
        <v>1.5</v>
      </c>
      <c r="I165" s="13">
        <v>0.76458333333333339</v>
      </c>
      <c r="J165" s="13">
        <v>0.77708333333333324</v>
      </c>
      <c r="K165" s="44">
        <f>Table3[[#This Row],[Delivery Time]]-Table3[[#This Row],[Order Time]]</f>
        <v>1.2499999999999845E-2</v>
      </c>
      <c r="L165" s="43">
        <v>18</v>
      </c>
      <c r="M165" s="10" t="s">
        <v>11</v>
      </c>
      <c r="N165" s="14"/>
      <c r="O165" s="14" t="s">
        <v>39</v>
      </c>
      <c r="P165" s="10" t="s">
        <v>20</v>
      </c>
      <c r="Q165" s="10"/>
    </row>
    <row r="166" spans="1:17" x14ac:dyDescent="0.25">
      <c r="A166" s="17">
        <f t="shared" si="8"/>
        <v>165</v>
      </c>
      <c r="B166" s="18">
        <v>42965</v>
      </c>
      <c r="C166" s="18" t="str">
        <f t="shared" si="9"/>
        <v>Friday</v>
      </c>
      <c r="D166" s="10" t="str">
        <f t="shared" si="10"/>
        <v>Same</v>
      </c>
      <c r="E166" s="11">
        <v>29.66</v>
      </c>
      <c r="F166" s="11">
        <v>8</v>
      </c>
      <c r="G166" s="12">
        <f t="shared" si="11"/>
        <v>0.26972353337828725</v>
      </c>
      <c r="H166" s="11">
        <v>5</v>
      </c>
      <c r="I166" s="13">
        <v>0.78333333333333333</v>
      </c>
      <c r="J166" s="13">
        <v>0.81388888888888899</v>
      </c>
      <c r="K166" s="44">
        <f>Table3[[#This Row],[Delivery Time]]-Table3[[#This Row],[Order Time]]</f>
        <v>3.0555555555555669E-2</v>
      </c>
      <c r="L166" s="43">
        <v>44</v>
      </c>
      <c r="M166" s="10" t="s">
        <v>0</v>
      </c>
      <c r="N166" s="14"/>
      <c r="O166" s="14" t="s">
        <v>39</v>
      </c>
      <c r="P166" s="10" t="s">
        <v>20</v>
      </c>
      <c r="Q166" s="10"/>
    </row>
    <row r="167" spans="1:17" x14ac:dyDescent="0.25">
      <c r="A167" s="17">
        <f t="shared" si="8"/>
        <v>166</v>
      </c>
      <c r="B167" s="18">
        <v>42965</v>
      </c>
      <c r="C167" s="18" t="str">
        <f t="shared" si="9"/>
        <v>Friday</v>
      </c>
      <c r="D167" s="10" t="str">
        <f t="shared" si="10"/>
        <v>Same</v>
      </c>
      <c r="E167" s="11">
        <v>86.49</v>
      </c>
      <c r="F167" s="11">
        <v>16</v>
      </c>
      <c r="G167" s="12">
        <f t="shared" si="11"/>
        <v>0.18499248468030988</v>
      </c>
      <c r="H167" s="11">
        <v>1.5</v>
      </c>
      <c r="I167" s="13">
        <v>0.79375000000000007</v>
      </c>
      <c r="J167" s="13">
        <v>0.8256944444444444</v>
      </c>
      <c r="K167" s="44">
        <f>Table3[[#This Row],[Delivery Time]]-Table3[[#This Row],[Order Time]]</f>
        <v>3.1944444444444331E-2</v>
      </c>
      <c r="L167" s="43">
        <v>46.000000000000007</v>
      </c>
      <c r="M167" s="10" t="s">
        <v>0</v>
      </c>
      <c r="N167" s="14" t="s">
        <v>22</v>
      </c>
      <c r="O167" s="14" t="s">
        <v>39</v>
      </c>
      <c r="P167" s="10" t="s">
        <v>20</v>
      </c>
      <c r="Q167" s="10"/>
    </row>
    <row r="168" spans="1:17" x14ac:dyDescent="0.25">
      <c r="A168" s="17">
        <f t="shared" si="8"/>
        <v>167</v>
      </c>
      <c r="B168" s="18">
        <v>42965</v>
      </c>
      <c r="C168" s="18" t="str">
        <f t="shared" si="9"/>
        <v>Friday</v>
      </c>
      <c r="D168" s="10" t="str">
        <f t="shared" si="10"/>
        <v>Same</v>
      </c>
      <c r="E168" s="11">
        <v>14.61</v>
      </c>
      <c r="F168" s="11">
        <v>3</v>
      </c>
      <c r="G168" s="12">
        <f t="shared" si="11"/>
        <v>0.20533880903490762</v>
      </c>
      <c r="H168" s="11">
        <v>1.5</v>
      </c>
      <c r="I168" s="13">
        <v>0.81736111111111109</v>
      </c>
      <c r="J168" s="13">
        <v>0.84861111111111109</v>
      </c>
      <c r="K168" s="44">
        <f>Table3[[#This Row],[Delivery Time]]-Table3[[#This Row],[Order Time]]</f>
        <v>3.125E-2</v>
      </c>
      <c r="L168" s="43">
        <v>45</v>
      </c>
      <c r="M168" s="10" t="s">
        <v>11</v>
      </c>
      <c r="N168" s="14"/>
      <c r="O168" s="14" t="s">
        <v>39</v>
      </c>
      <c r="P168" s="10" t="s">
        <v>20</v>
      </c>
      <c r="Q168" s="10"/>
    </row>
    <row r="169" spans="1:17" x14ac:dyDescent="0.25">
      <c r="A169" s="17">
        <f t="shared" si="8"/>
        <v>168</v>
      </c>
      <c r="B169" s="18">
        <v>42965</v>
      </c>
      <c r="C169" s="18" t="str">
        <f t="shared" si="9"/>
        <v>Friday</v>
      </c>
      <c r="D169" s="10" t="str">
        <f t="shared" si="10"/>
        <v>Same</v>
      </c>
      <c r="E169" s="11">
        <v>63.18</v>
      </c>
      <c r="F169" s="11">
        <v>10</v>
      </c>
      <c r="G169" s="12">
        <f t="shared" si="11"/>
        <v>0.15827793605571383</v>
      </c>
      <c r="H169" s="11">
        <v>7</v>
      </c>
      <c r="I169" s="13">
        <v>0.81736111111111109</v>
      </c>
      <c r="J169" s="13">
        <v>0.85972222222222217</v>
      </c>
      <c r="K169" s="44">
        <f>Table3[[#This Row],[Delivery Time]]-Table3[[#This Row],[Order Time]]</f>
        <v>4.2361111111111072E-2</v>
      </c>
      <c r="L169" s="43">
        <v>61</v>
      </c>
      <c r="M169" s="10" t="s">
        <v>12</v>
      </c>
      <c r="N169" s="14"/>
      <c r="O169" s="14" t="s">
        <v>39</v>
      </c>
      <c r="P169" s="10" t="s">
        <v>20</v>
      </c>
      <c r="Q169" s="10"/>
    </row>
    <row r="170" spans="1:17" x14ac:dyDescent="0.25">
      <c r="A170" s="17">
        <f t="shared" si="8"/>
        <v>169</v>
      </c>
      <c r="B170" s="18">
        <v>42965</v>
      </c>
      <c r="C170" s="18" t="str">
        <f t="shared" si="9"/>
        <v>Friday</v>
      </c>
      <c r="D170" s="10" t="str">
        <f t="shared" si="10"/>
        <v>Same</v>
      </c>
      <c r="E170" s="11">
        <v>51.58</v>
      </c>
      <c r="F170" s="11">
        <v>6</v>
      </c>
      <c r="G170" s="12">
        <f t="shared" si="11"/>
        <v>0.1163241566498643</v>
      </c>
      <c r="H170" s="11">
        <v>1.5</v>
      </c>
      <c r="I170" s="13">
        <v>0.88194444444444453</v>
      </c>
      <c r="J170" s="13">
        <v>0.89722222222222225</v>
      </c>
      <c r="K170" s="44">
        <f>Table3[[#This Row],[Delivery Time]]-Table3[[#This Row],[Order Time]]</f>
        <v>1.5277777777777724E-2</v>
      </c>
      <c r="L170" s="43">
        <v>22</v>
      </c>
      <c r="M170" s="10" t="s">
        <v>11</v>
      </c>
      <c r="N170" s="14"/>
      <c r="O170" s="14" t="s">
        <v>41</v>
      </c>
      <c r="P170" s="10" t="s">
        <v>20</v>
      </c>
      <c r="Q170" s="10"/>
    </row>
    <row r="171" spans="1:17" x14ac:dyDescent="0.25">
      <c r="A171" s="17">
        <f t="shared" si="8"/>
        <v>170</v>
      </c>
      <c r="B171" s="18">
        <v>42966</v>
      </c>
      <c r="C171" s="18" t="str">
        <f t="shared" si="9"/>
        <v>Saturday</v>
      </c>
      <c r="D171" s="10" t="str">
        <f t="shared" si="10"/>
        <v>Different</v>
      </c>
      <c r="E171" s="11">
        <v>36.21</v>
      </c>
      <c r="F171" s="11">
        <v>3</v>
      </c>
      <c r="G171" s="12">
        <f t="shared" si="11"/>
        <v>8.2850041425020712E-2</v>
      </c>
      <c r="H171" s="11">
        <v>5</v>
      </c>
      <c r="I171" s="13">
        <v>0.72916666666666663</v>
      </c>
      <c r="J171" s="13">
        <v>0.73125000000000007</v>
      </c>
      <c r="K171" s="44">
        <f>Table3[[#This Row],[Delivery Time]]-Table3[[#This Row],[Order Time]]</f>
        <v>2.083333333333437E-3</v>
      </c>
      <c r="L171" s="43">
        <v>3</v>
      </c>
      <c r="M171" s="10" t="s">
        <v>0</v>
      </c>
      <c r="N171" s="14"/>
      <c r="O171" s="14" t="s">
        <v>41</v>
      </c>
      <c r="P171" s="10" t="s">
        <v>16</v>
      </c>
      <c r="Q171" s="10"/>
    </row>
    <row r="172" spans="1:17" x14ac:dyDescent="0.25">
      <c r="A172" s="17">
        <f t="shared" si="8"/>
        <v>171</v>
      </c>
      <c r="B172" s="18">
        <v>42966</v>
      </c>
      <c r="C172" s="18" t="str">
        <f t="shared" si="9"/>
        <v>Saturday</v>
      </c>
      <c r="D172" s="10" t="str">
        <f t="shared" si="10"/>
        <v>Same</v>
      </c>
      <c r="E172" s="11">
        <v>31.07</v>
      </c>
      <c r="F172" s="11">
        <v>6.8</v>
      </c>
      <c r="G172" s="12">
        <f t="shared" si="11"/>
        <v>0.21886063727067911</v>
      </c>
      <c r="H172" s="11">
        <v>1.5</v>
      </c>
      <c r="I172" s="13">
        <v>0.71458333333333324</v>
      </c>
      <c r="J172" s="13">
        <v>0.74652777777777779</v>
      </c>
      <c r="K172" s="44">
        <f>Table3[[#This Row],[Delivery Time]]-Table3[[#This Row],[Order Time]]</f>
        <v>3.1944444444444553E-2</v>
      </c>
      <c r="L172" s="43">
        <v>46.000000000000007</v>
      </c>
      <c r="M172" s="10" t="s">
        <v>0</v>
      </c>
      <c r="N172" s="14" t="s">
        <v>22</v>
      </c>
      <c r="O172" s="14" t="s">
        <v>39</v>
      </c>
      <c r="P172" s="10" t="s">
        <v>20</v>
      </c>
      <c r="Q172" s="10"/>
    </row>
    <row r="173" spans="1:17" x14ac:dyDescent="0.25">
      <c r="A173" s="17">
        <f t="shared" si="8"/>
        <v>172</v>
      </c>
      <c r="B173" s="18">
        <v>42966</v>
      </c>
      <c r="C173" s="18" t="str">
        <f t="shared" si="9"/>
        <v>Saturday</v>
      </c>
      <c r="D173" s="10" t="str">
        <f t="shared" si="10"/>
        <v>Same</v>
      </c>
      <c r="E173" s="11">
        <v>22.68</v>
      </c>
      <c r="F173" s="11">
        <v>4</v>
      </c>
      <c r="G173" s="12">
        <f t="shared" si="11"/>
        <v>0.17636684303350969</v>
      </c>
      <c r="H173" s="11">
        <v>1.5</v>
      </c>
      <c r="I173" s="13">
        <v>0.76250000000000007</v>
      </c>
      <c r="J173" s="13">
        <v>0.77569444444444446</v>
      </c>
      <c r="K173" s="44">
        <f>Table3[[#This Row],[Delivery Time]]-Table3[[#This Row],[Order Time]]</f>
        <v>1.3194444444444398E-2</v>
      </c>
      <c r="L173" s="43">
        <v>19</v>
      </c>
      <c r="M173" s="10" t="s">
        <v>11</v>
      </c>
      <c r="N173" s="14"/>
      <c r="O173" s="14" t="s">
        <v>39</v>
      </c>
      <c r="P173" s="10" t="s">
        <v>20</v>
      </c>
      <c r="Q173" s="10"/>
    </row>
    <row r="174" spans="1:17" x14ac:dyDescent="0.25">
      <c r="A174" s="17">
        <f t="shared" si="8"/>
        <v>173</v>
      </c>
      <c r="B174" s="18">
        <v>42966</v>
      </c>
      <c r="C174" s="18" t="str">
        <f t="shared" si="9"/>
        <v>Saturday</v>
      </c>
      <c r="D174" s="10" t="str">
        <f t="shared" si="10"/>
        <v>Same</v>
      </c>
      <c r="E174" s="11">
        <v>35.130000000000003</v>
      </c>
      <c r="F174" s="11">
        <v>5.87</v>
      </c>
      <c r="G174" s="12">
        <f t="shared" si="11"/>
        <v>0.16709365214916025</v>
      </c>
      <c r="H174" s="11">
        <v>1.5</v>
      </c>
      <c r="I174" s="13">
        <v>0.77013888888888893</v>
      </c>
      <c r="J174" s="13">
        <v>0.79375000000000007</v>
      </c>
      <c r="K174" s="44">
        <f>Table3[[#This Row],[Delivery Time]]-Table3[[#This Row],[Order Time]]</f>
        <v>2.3611111111111138E-2</v>
      </c>
      <c r="L174" s="43">
        <v>34</v>
      </c>
      <c r="M174" s="10" t="s">
        <v>0</v>
      </c>
      <c r="N174" s="14" t="s">
        <v>22</v>
      </c>
      <c r="O174" s="14" t="s">
        <v>39</v>
      </c>
      <c r="P174" s="10" t="s">
        <v>20</v>
      </c>
      <c r="Q174" s="10"/>
    </row>
    <row r="175" spans="1:17" x14ac:dyDescent="0.25">
      <c r="A175" s="17">
        <f t="shared" si="8"/>
        <v>174</v>
      </c>
      <c r="B175" s="18">
        <v>42966</v>
      </c>
      <c r="C175" s="18" t="str">
        <f t="shared" si="9"/>
        <v>Saturday</v>
      </c>
      <c r="D175" s="10" t="str">
        <f t="shared" si="10"/>
        <v>Same</v>
      </c>
      <c r="E175" s="11">
        <v>16.510000000000002</v>
      </c>
      <c r="F175" s="11">
        <v>3.49</v>
      </c>
      <c r="G175" s="12">
        <f t="shared" si="11"/>
        <v>0.2113870381586917</v>
      </c>
      <c r="H175" s="11">
        <v>1.5</v>
      </c>
      <c r="I175" s="13">
        <v>0.81805555555555554</v>
      </c>
      <c r="J175" s="13">
        <v>0.8340277777777777</v>
      </c>
      <c r="K175" s="44">
        <f>Table3[[#This Row],[Delivery Time]]-Table3[[#This Row],[Order Time]]</f>
        <v>1.5972222222222165E-2</v>
      </c>
      <c r="L175" s="43">
        <v>23.000000000000004</v>
      </c>
      <c r="M175" s="10" t="s">
        <v>0</v>
      </c>
      <c r="N175" s="14"/>
      <c r="O175" s="14" t="s">
        <v>39</v>
      </c>
      <c r="P175" s="10" t="s">
        <v>20</v>
      </c>
      <c r="Q175" s="10"/>
    </row>
    <row r="176" spans="1:17" x14ac:dyDescent="0.25">
      <c r="A176" s="17">
        <f t="shared" si="8"/>
        <v>175</v>
      </c>
      <c r="B176" s="18">
        <v>42966</v>
      </c>
      <c r="C176" s="18" t="str">
        <f t="shared" si="9"/>
        <v>Saturday</v>
      </c>
      <c r="D176" s="10" t="str">
        <f t="shared" si="10"/>
        <v>Same</v>
      </c>
      <c r="E176" s="11">
        <v>84.22</v>
      </c>
      <c r="F176" s="11">
        <v>10</v>
      </c>
      <c r="G176" s="12">
        <f t="shared" si="11"/>
        <v>0.11873664212776062</v>
      </c>
      <c r="H176" s="11">
        <v>1.5</v>
      </c>
      <c r="I176" s="13">
        <v>0.84444444444444444</v>
      </c>
      <c r="J176" s="13">
        <v>0.8652777777777777</v>
      </c>
      <c r="K176" s="44">
        <f>Table3[[#This Row],[Delivery Time]]-Table3[[#This Row],[Order Time]]</f>
        <v>2.0833333333333259E-2</v>
      </c>
      <c r="L176" s="43">
        <v>30</v>
      </c>
      <c r="M176" s="10" t="s">
        <v>11</v>
      </c>
      <c r="N176" s="14"/>
      <c r="O176" s="14" t="s">
        <v>39</v>
      </c>
      <c r="P176" s="10" t="s">
        <v>20</v>
      </c>
      <c r="Q176" s="10"/>
    </row>
    <row r="177" spans="1:17" x14ac:dyDescent="0.25">
      <c r="A177" s="17">
        <f t="shared" si="8"/>
        <v>176</v>
      </c>
      <c r="B177" s="18">
        <v>42966</v>
      </c>
      <c r="C177" s="18" t="str">
        <f t="shared" si="9"/>
        <v>Saturday</v>
      </c>
      <c r="D177" s="10" t="str">
        <f t="shared" si="10"/>
        <v>Same</v>
      </c>
      <c r="E177" s="11">
        <v>63.76</v>
      </c>
      <c r="F177" s="11">
        <v>3</v>
      </c>
      <c r="G177" s="12">
        <f t="shared" si="11"/>
        <v>4.7051442910915939E-2</v>
      </c>
      <c r="H177" s="11">
        <v>1.5</v>
      </c>
      <c r="I177" s="13">
        <v>0.86805555555555547</v>
      </c>
      <c r="J177" s="13">
        <v>0.88680555555555562</v>
      </c>
      <c r="K177" s="44">
        <f>Table3[[#This Row],[Delivery Time]]-Table3[[#This Row],[Order Time]]</f>
        <v>1.8750000000000155E-2</v>
      </c>
      <c r="L177" s="43">
        <v>26.999999999999996</v>
      </c>
      <c r="M177" s="10" t="s">
        <v>0</v>
      </c>
      <c r="N177" s="14"/>
      <c r="O177" s="14" t="s">
        <v>39</v>
      </c>
      <c r="P177" s="10" t="s">
        <v>20</v>
      </c>
      <c r="Q177" s="10"/>
    </row>
    <row r="178" spans="1:17" x14ac:dyDescent="0.25">
      <c r="A178" s="17">
        <f t="shared" si="8"/>
        <v>177</v>
      </c>
      <c r="B178" s="18">
        <v>42967</v>
      </c>
      <c r="C178" s="18" t="str">
        <f t="shared" si="9"/>
        <v>Sunday</v>
      </c>
      <c r="D178" s="10" t="str">
        <f t="shared" si="10"/>
        <v>Different</v>
      </c>
      <c r="E178" s="11">
        <v>36.159999999999997</v>
      </c>
      <c r="F178" s="11">
        <v>8</v>
      </c>
      <c r="G178" s="12">
        <f t="shared" si="11"/>
        <v>0.22123893805309736</v>
      </c>
      <c r="H178" s="11">
        <v>7</v>
      </c>
      <c r="I178" s="13">
        <v>0.7006944444444444</v>
      </c>
      <c r="J178" s="13">
        <v>0.72569444444444453</v>
      </c>
      <c r="K178" s="44">
        <f>Table3[[#This Row],[Delivery Time]]-Table3[[#This Row],[Order Time]]</f>
        <v>2.5000000000000133E-2</v>
      </c>
      <c r="L178" s="43">
        <v>36</v>
      </c>
      <c r="M178" s="10" t="s">
        <v>0</v>
      </c>
      <c r="N178" s="14"/>
      <c r="O178" s="14" t="s">
        <v>39</v>
      </c>
      <c r="P178" s="10" t="s">
        <v>20</v>
      </c>
      <c r="Q178" s="10"/>
    </row>
    <row r="179" spans="1:17" x14ac:dyDescent="0.25">
      <c r="A179" s="17">
        <f t="shared" si="8"/>
        <v>178</v>
      </c>
      <c r="B179" s="18">
        <v>42967</v>
      </c>
      <c r="C179" s="18" t="str">
        <f t="shared" si="9"/>
        <v>Sunday</v>
      </c>
      <c r="D179" s="10" t="str">
        <f t="shared" si="10"/>
        <v>Same</v>
      </c>
      <c r="E179" s="11">
        <v>34.86</v>
      </c>
      <c r="F179" s="11">
        <v>5.14</v>
      </c>
      <c r="G179" s="12">
        <f t="shared" si="11"/>
        <v>0.14744693057946071</v>
      </c>
      <c r="H179" s="11">
        <v>1.5</v>
      </c>
      <c r="I179" s="13">
        <v>0.74513888888888891</v>
      </c>
      <c r="J179" s="13">
        <v>0.76597222222222217</v>
      </c>
      <c r="K179" s="44">
        <f>Table3[[#This Row],[Delivery Time]]-Table3[[#This Row],[Order Time]]</f>
        <v>2.0833333333333259E-2</v>
      </c>
      <c r="L179" s="43">
        <v>30</v>
      </c>
      <c r="M179" s="10" t="s">
        <v>0</v>
      </c>
      <c r="N179" s="14"/>
      <c r="O179" s="14" t="s">
        <v>41</v>
      </c>
      <c r="P179" s="10" t="s">
        <v>20</v>
      </c>
      <c r="Q179" s="10"/>
    </row>
    <row r="180" spans="1:17" x14ac:dyDescent="0.25">
      <c r="A180" s="17">
        <f t="shared" si="8"/>
        <v>179</v>
      </c>
      <c r="B180" s="18">
        <v>42967</v>
      </c>
      <c r="C180" s="18" t="str">
        <f t="shared" si="9"/>
        <v>Sunday</v>
      </c>
      <c r="D180" s="10" t="str">
        <f t="shared" si="10"/>
        <v>Same</v>
      </c>
      <c r="E180" s="11">
        <v>32.42</v>
      </c>
      <c r="F180" s="11">
        <v>2</v>
      </c>
      <c r="G180" s="12">
        <f t="shared" si="11"/>
        <v>6.1690314620604564E-2</v>
      </c>
      <c r="H180" s="11">
        <v>1.5</v>
      </c>
      <c r="I180" s="13">
        <v>0.74861111111111101</v>
      </c>
      <c r="J180" s="13">
        <v>0.78194444444444444</v>
      </c>
      <c r="K180" s="44">
        <f>Table3[[#This Row],[Delivery Time]]-Table3[[#This Row],[Order Time]]</f>
        <v>3.3333333333333437E-2</v>
      </c>
      <c r="L180" s="43">
        <v>48</v>
      </c>
      <c r="M180" s="10" t="s">
        <v>0</v>
      </c>
      <c r="N180" s="14"/>
      <c r="O180" s="14" t="s">
        <v>41</v>
      </c>
      <c r="P180" s="10" t="s">
        <v>20</v>
      </c>
      <c r="Q180" s="10"/>
    </row>
    <row r="181" spans="1:17" x14ac:dyDescent="0.25">
      <c r="A181" s="17">
        <f t="shared" si="8"/>
        <v>180</v>
      </c>
      <c r="B181" s="18">
        <v>42967</v>
      </c>
      <c r="C181" s="18" t="str">
        <f t="shared" si="9"/>
        <v>Sunday</v>
      </c>
      <c r="D181" s="10" t="str">
        <f t="shared" si="10"/>
        <v>Same</v>
      </c>
      <c r="E181" s="11">
        <v>44.38</v>
      </c>
      <c r="F181" s="11">
        <v>8</v>
      </c>
      <c r="G181" s="12">
        <f t="shared" si="11"/>
        <v>0.18026137899954933</v>
      </c>
      <c r="H181" s="11">
        <v>1.5</v>
      </c>
      <c r="I181" s="13">
        <v>0.75069444444444444</v>
      </c>
      <c r="J181" s="13">
        <v>0.77222222222222225</v>
      </c>
      <c r="K181" s="44">
        <f>Table3[[#This Row],[Delivery Time]]-Table3[[#This Row],[Order Time]]</f>
        <v>2.1527777777777812E-2</v>
      </c>
      <c r="L181" s="43">
        <v>31.000000000000004</v>
      </c>
      <c r="M181" s="10" t="s">
        <v>0</v>
      </c>
      <c r="N181" s="14"/>
      <c r="O181" s="14" t="s">
        <v>40</v>
      </c>
      <c r="P181" s="10" t="s">
        <v>20</v>
      </c>
      <c r="Q181" s="10"/>
    </row>
    <row r="182" spans="1:17" x14ac:dyDescent="0.25">
      <c r="A182" s="17">
        <f t="shared" si="8"/>
        <v>181</v>
      </c>
      <c r="B182" s="18">
        <v>42967</v>
      </c>
      <c r="C182" s="18" t="str">
        <f t="shared" si="9"/>
        <v>Sunday</v>
      </c>
      <c r="D182" s="10" t="str">
        <f t="shared" si="10"/>
        <v>Same</v>
      </c>
      <c r="E182" s="11">
        <v>37.08</v>
      </c>
      <c r="F182" s="11">
        <v>4</v>
      </c>
      <c r="G182" s="12">
        <f t="shared" si="11"/>
        <v>0.10787486515641856</v>
      </c>
      <c r="H182" s="11">
        <v>1.5</v>
      </c>
      <c r="I182" s="13">
        <v>0.77708333333333324</v>
      </c>
      <c r="J182" s="13">
        <v>0.80555555555555547</v>
      </c>
      <c r="K182" s="44">
        <f>Table3[[#This Row],[Delivery Time]]-Table3[[#This Row],[Order Time]]</f>
        <v>2.8472222222222232E-2</v>
      </c>
      <c r="L182" s="43">
        <v>41</v>
      </c>
      <c r="M182" s="10" t="s">
        <v>0</v>
      </c>
      <c r="N182" s="14"/>
      <c r="O182" s="14" t="s">
        <v>39</v>
      </c>
      <c r="P182" s="10" t="s">
        <v>20</v>
      </c>
      <c r="Q182" s="10"/>
    </row>
    <row r="183" spans="1:17" x14ac:dyDescent="0.25">
      <c r="A183" s="17">
        <f t="shared" si="8"/>
        <v>182</v>
      </c>
      <c r="B183" s="18">
        <v>42967</v>
      </c>
      <c r="C183" s="18" t="str">
        <f t="shared" si="9"/>
        <v>Sunday</v>
      </c>
      <c r="D183" s="10" t="str">
        <f t="shared" si="10"/>
        <v>Same</v>
      </c>
      <c r="E183" s="11">
        <v>33.5</v>
      </c>
      <c r="F183" s="11">
        <v>4</v>
      </c>
      <c r="G183" s="12">
        <f t="shared" si="11"/>
        <v>0.11940298507462686</v>
      </c>
      <c r="H183" s="11">
        <v>1.5</v>
      </c>
      <c r="I183" s="13">
        <v>0.78888888888888886</v>
      </c>
      <c r="J183" s="13">
        <v>0.81180555555555556</v>
      </c>
      <c r="K183" s="44">
        <f>Table3[[#This Row],[Delivery Time]]-Table3[[#This Row],[Order Time]]</f>
        <v>2.2916666666666696E-2</v>
      </c>
      <c r="L183" s="43">
        <v>33</v>
      </c>
      <c r="M183" s="10" t="s">
        <v>0</v>
      </c>
      <c r="N183" s="14"/>
      <c r="O183" s="14" t="s">
        <v>39</v>
      </c>
      <c r="P183" s="10" t="s">
        <v>20</v>
      </c>
      <c r="Q183" s="10"/>
    </row>
    <row r="184" spans="1:17" x14ac:dyDescent="0.25">
      <c r="A184" s="17">
        <f t="shared" si="8"/>
        <v>183</v>
      </c>
      <c r="B184" s="18">
        <v>42967</v>
      </c>
      <c r="C184" s="18" t="str">
        <f t="shared" si="9"/>
        <v>Sunday</v>
      </c>
      <c r="D184" s="10" t="str">
        <f t="shared" si="10"/>
        <v>Same</v>
      </c>
      <c r="E184" s="11">
        <v>44.33</v>
      </c>
      <c r="F184" s="11">
        <v>5.67</v>
      </c>
      <c r="G184" s="12">
        <f t="shared" si="11"/>
        <v>0.12790435371080533</v>
      </c>
      <c r="H184" s="11">
        <v>1.5</v>
      </c>
      <c r="I184" s="13">
        <v>0.8125</v>
      </c>
      <c r="J184" s="13">
        <v>0.83750000000000002</v>
      </c>
      <c r="K184" s="44">
        <f>Table3[[#This Row],[Delivery Time]]-Table3[[#This Row],[Order Time]]</f>
        <v>2.5000000000000022E-2</v>
      </c>
      <c r="L184" s="43">
        <v>36</v>
      </c>
      <c r="M184" s="10" t="s">
        <v>0</v>
      </c>
      <c r="N184" s="14"/>
      <c r="O184" s="14" t="s">
        <v>41</v>
      </c>
      <c r="P184" s="10" t="s">
        <v>20</v>
      </c>
      <c r="Q184" s="10"/>
    </row>
    <row r="185" spans="1:17" x14ac:dyDescent="0.25">
      <c r="A185" s="17">
        <f t="shared" si="8"/>
        <v>184</v>
      </c>
      <c r="B185" s="18">
        <v>42967</v>
      </c>
      <c r="C185" s="18" t="str">
        <f t="shared" si="9"/>
        <v>Sunday</v>
      </c>
      <c r="D185" s="10" t="str">
        <f t="shared" si="10"/>
        <v>Same</v>
      </c>
      <c r="E185" s="11">
        <v>22.41</v>
      </c>
      <c r="F185" s="11">
        <v>1.59</v>
      </c>
      <c r="G185" s="12">
        <f t="shared" si="11"/>
        <v>7.0950468540829995E-2</v>
      </c>
      <c r="H185" s="11">
        <v>1.5</v>
      </c>
      <c r="I185" s="13">
        <v>0.86041666666666661</v>
      </c>
      <c r="J185" s="13">
        <v>0.87916666666666676</v>
      </c>
      <c r="K185" s="44">
        <f>Table3[[#This Row],[Delivery Time]]-Table3[[#This Row],[Order Time]]</f>
        <v>1.8750000000000155E-2</v>
      </c>
      <c r="L185" s="43">
        <v>26.999999999999996</v>
      </c>
      <c r="M185" s="10" t="s">
        <v>0</v>
      </c>
      <c r="N185" s="14"/>
      <c r="O185" s="14" t="s">
        <v>39</v>
      </c>
      <c r="P185" s="10" t="s">
        <v>20</v>
      </c>
      <c r="Q185" s="10"/>
    </row>
    <row r="186" spans="1:17" x14ac:dyDescent="0.25">
      <c r="A186" s="17">
        <f t="shared" si="8"/>
        <v>185</v>
      </c>
      <c r="B186" s="18">
        <v>42967</v>
      </c>
      <c r="C186" s="18" t="str">
        <f t="shared" si="9"/>
        <v>Sunday</v>
      </c>
      <c r="D186" s="10" t="str">
        <f t="shared" si="10"/>
        <v>Same</v>
      </c>
      <c r="E186" s="11">
        <v>26.2</v>
      </c>
      <c r="F186" s="11">
        <v>5</v>
      </c>
      <c r="G186" s="12">
        <f t="shared" si="11"/>
        <v>0.19083969465648856</v>
      </c>
      <c r="H186" s="11">
        <v>1.5</v>
      </c>
      <c r="I186" s="13">
        <v>0.89027777777777783</v>
      </c>
      <c r="J186" s="13">
        <v>0.90347222222222223</v>
      </c>
      <c r="K186" s="44">
        <f>Table3[[#This Row],[Delivery Time]]-Table3[[#This Row],[Order Time]]</f>
        <v>1.3194444444444398E-2</v>
      </c>
      <c r="L186" s="43">
        <v>19</v>
      </c>
      <c r="M186" s="10" t="s">
        <v>11</v>
      </c>
      <c r="N186" s="14"/>
      <c r="O186" s="14" t="s">
        <v>41</v>
      </c>
      <c r="P186" s="10" t="s">
        <v>20</v>
      </c>
      <c r="Q186" s="10"/>
    </row>
    <row r="187" spans="1:17" x14ac:dyDescent="0.25">
      <c r="A187" s="17">
        <f t="shared" si="8"/>
        <v>186</v>
      </c>
      <c r="B187" s="18">
        <v>42972</v>
      </c>
      <c r="C187" s="18" t="str">
        <f t="shared" si="9"/>
        <v>Friday</v>
      </c>
      <c r="D187" s="10" t="str">
        <f t="shared" si="10"/>
        <v>Different</v>
      </c>
      <c r="E187" s="11">
        <v>31.39</v>
      </c>
      <c r="F187" s="11">
        <v>5</v>
      </c>
      <c r="G187" s="12">
        <f t="shared" si="11"/>
        <v>0.15928639694170119</v>
      </c>
      <c r="H187" s="11">
        <v>1.5</v>
      </c>
      <c r="I187" s="13">
        <v>0.7055555555555556</v>
      </c>
      <c r="J187" s="13">
        <v>0.7319444444444444</v>
      </c>
      <c r="K187" s="44">
        <f>Table3[[#This Row],[Delivery Time]]-Table3[[#This Row],[Order Time]]</f>
        <v>2.6388888888888795E-2</v>
      </c>
      <c r="L187" s="43">
        <v>38</v>
      </c>
      <c r="M187" s="10" t="s">
        <v>11</v>
      </c>
      <c r="N187" s="14"/>
      <c r="O187" s="14" t="s">
        <v>41</v>
      </c>
      <c r="P187" s="10" t="s">
        <v>20</v>
      </c>
      <c r="Q187" s="10"/>
    </row>
    <row r="188" spans="1:17" x14ac:dyDescent="0.25">
      <c r="A188" s="17">
        <f t="shared" si="8"/>
        <v>187</v>
      </c>
      <c r="B188" s="18">
        <v>42972</v>
      </c>
      <c r="C188" s="18" t="str">
        <f t="shared" si="9"/>
        <v>Friday</v>
      </c>
      <c r="D188" s="10" t="str">
        <f t="shared" si="10"/>
        <v>Same</v>
      </c>
      <c r="E188" s="11">
        <v>39.51</v>
      </c>
      <c r="F188" s="11">
        <v>4</v>
      </c>
      <c r="G188" s="12">
        <f t="shared" si="11"/>
        <v>0.10124019235636549</v>
      </c>
      <c r="H188" s="11">
        <v>1.5</v>
      </c>
      <c r="I188" s="13">
        <v>0.71388888888888891</v>
      </c>
      <c r="J188" s="13">
        <v>0.73958333333333337</v>
      </c>
      <c r="K188" s="44">
        <f>Table3[[#This Row],[Delivery Time]]-Table3[[#This Row],[Order Time]]</f>
        <v>2.5694444444444464E-2</v>
      </c>
      <c r="L188" s="43">
        <v>37</v>
      </c>
      <c r="M188" s="10" t="s">
        <v>11</v>
      </c>
      <c r="N188" s="14"/>
      <c r="O188" s="14" t="s">
        <v>39</v>
      </c>
      <c r="P188" s="10" t="s">
        <v>20</v>
      </c>
      <c r="Q188" s="10"/>
    </row>
    <row r="189" spans="1:17" x14ac:dyDescent="0.25">
      <c r="A189" s="17">
        <f t="shared" si="8"/>
        <v>188</v>
      </c>
      <c r="B189" s="18">
        <v>42972</v>
      </c>
      <c r="C189" s="18" t="str">
        <f t="shared" si="9"/>
        <v>Friday</v>
      </c>
      <c r="D189" s="10" t="str">
        <f t="shared" si="10"/>
        <v>Same</v>
      </c>
      <c r="E189" s="11">
        <v>37.020000000000003</v>
      </c>
      <c r="F189" s="11">
        <v>5</v>
      </c>
      <c r="G189" s="12">
        <f t="shared" si="11"/>
        <v>0.1350621285791464</v>
      </c>
      <c r="H189" s="11">
        <v>1.5</v>
      </c>
      <c r="I189" s="13">
        <v>0.74791666666666667</v>
      </c>
      <c r="J189" s="13">
        <v>0.7680555555555556</v>
      </c>
      <c r="K189" s="44">
        <f>Table3[[#This Row],[Delivery Time]]-Table3[[#This Row],[Order Time]]</f>
        <v>2.0138888888888928E-2</v>
      </c>
      <c r="L189" s="43">
        <v>29.000000000000004</v>
      </c>
      <c r="M189" s="10" t="s">
        <v>11</v>
      </c>
      <c r="N189" s="14"/>
      <c r="O189" s="14" t="s">
        <v>39</v>
      </c>
      <c r="P189" s="10" t="s">
        <v>20</v>
      </c>
      <c r="Q189" s="10"/>
    </row>
    <row r="190" spans="1:17" x14ac:dyDescent="0.25">
      <c r="A190" s="17">
        <f t="shared" si="8"/>
        <v>189</v>
      </c>
      <c r="B190" s="18">
        <v>42972</v>
      </c>
      <c r="C190" s="18" t="str">
        <f t="shared" si="9"/>
        <v>Friday</v>
      </c>
      <c r="D190" s="10" t="str">
        <f t="shared" si="10"/>
        <v>Same</v>
      </c>
      <c r="E190" s="11">
        <v>134.72</v>
      </c>
      <c r="F190" s="11">
        <v>20</v>
      </c>
      <c r="G190" s="12">
        <f t="shared" si="11"/>
        <v>0.14845605700712589</v>
      </c>
      <c r="H190" s="11">
        <v>1.5</v>
      </c>
      <c r="I190" s="13">
        <v>0.78125</v>
      </c>
      <c r="J190" s="13">
        <v>0.80208333333333337</v>
      </c>
      <c r="K190" s="44">
        <f>Table3[[#This Row],[Delivery Time]]-Table3[[#This Row],[Order Time]]</f>
        <v>2.083333333333337E-2</v>
      </c>
      <c r="L190" s="43">
        <v>30</v>
      </c>
      <c r="M190" s="10" t="s">
        <v>11</v>
      </c>
      <c r="N190" s="14"/>
      <c r="O190" s="14" t="s">
        <v>39</v>
      </c>
      <c r="P190" s="10" t="s">
        <v>20</v>
      </c>
      <c r="Q190" s="10"/>
    </row>
    <row r="191" spans="1:17" x14ac:dyDescent="0.25">
      <c r="A191" s="17">
        <f t="shared" si="8"/>
        <v>190</v>
      </c>
      <c r="B191" s="18">
        <v>42972</v>
      </c>
      <c r="C191" s="18" t="str">
        <f t="shared" si="9"/>
        <v>Friday</v>
      </c>
      <c r="D191" s="10" t="str">
        <f t="shared" si="10"/>
        <v>Same</v>
      </c>
      <c r="E191" s="11">
        <v>22.68</v>
      </c>
      <c r="F191" s="11">
        <v>4</v>
      </c>
      <c r="G191" s="12">
        <f t="shared" si="11"/>
        <v>0.17636684303350969</v>
      </c>
      <c r="H191" s="11">
        <v>1.5</v>
      </c>
      <c r="I191" s="13">
        <v>0.78472222222222221</v>
      </c>
      <c r="J191" s="13">
        <v>0.82500000000000007</v>
      </c>
      <c r="K191" s="44">
        <f>Table3[[#This Row],[Delivery Time]]-Table3[[#This Row],[Order Time]]</f>
        <v>4.0277777777777857E-2</v>
      </c>
      <c r="L191" s="43">
        <v>58.000000000000007</v>
      </c>
      <c r="M191" s="10" t="s">
        <v>11</v>
      </c>
      <c r="N191" s="14"/>
      <c r="O191" s="14" t="s">
        <v>41</v>
      </c>
      <c r="P191" s="10" t="s">
        <v>20</v>
      </c>
      <c r="Q191" s="10"/>
    </row>
    <row r="192" spans="1:17" x14ac:dyDescent="0.25">
      <c r="A192" s="17">
        <f t="shared" si="8"/>
        <v>191</v>
      </c>
      <c r="B192" s="18">
        <v>42972</v>
      </c>
      <c r="C192" s="18" t="str">
        <f t="shared" si="9"/>
        <v>Friday</v>
      </c>
      <c r="D192" s="10" t="str">
        <f t="shared" si="10"/>
        <v>Same</v>
      </c>
      <c r="E192" s="11">
        <v>68.680000000000007</v>
      </c>
      <c r="F192" s="11">
        <v>12</v>
      </c>
      <c r="G192" s="12">
        <f t="shared" si="11"/>
        <v>0.17472335468840999</v>
      </c>
      <c r="H192" s="11">
        <v>5</v>
      </c>
      <c r="I192" s="13">
        <v>0.82013888888888886</v>
      </c>
      <c r="J192" s="13">
        <v>0.84583333333333333</v>
      </c>
      <c r="K192" s="44">
        <f>Table3[[#This Row],[Delivery Time]]-Table3[[#This Row],[Order Time]]</f>
        <v>2.5694444444444464E-2</v>
      </c>
      <c r="L192" s="43">
        <v>37</v>
      </c>
      <c r="M192" s="10" t="s">
        <v>0</v>
      </c>
      <c r="N192" s="14"/>
      <c r="O192" s="14" t="s">
        <v>39</v>
      </c>
      <c r="P192" s="10" t="s">
        <v>20</v>
      </c>
      <c r="Q192" s="10"/>
    </row>
    <row r="193" spans="1:17" x14ac:dyDescent="0.25">
      <c r="A193" s="17">
        <f t="shared" si="8"/>
        <v>192</v>
      </c>
      <c r="B193" s="18">
        <v>42972</v>
      </c>
      <c r="C193" s="18" t="str">
        <f t="shared" si="9"/>
        <v>Friday</v>
      </c>
      <c r="D193" s="10" t="str">
        <f t="shared" si="10"/>
        <v>Same</v>
      </c>
      <c r="E193" s="11">
        <v>27.82</v>
      </c>
      <c r="F193" s="11">
        <v>5</v>
      </c>
      <c r="G193" s="12">
        <f t="shared" si="11"/>
        <v>0.17972681524083392</v>
      </c>
      <c r="H193" s="11">
        <v>1.5</v>
      </c>
      <c r="I193" s="13">
        <v>0.86319444444444438</v>
      </c>
      <c r="J193" s="13">
        <v>0.87638888888888899</v>
      </c>
      <c r="K193" s="44">
        <f>Table3[[#This Row],[Delivery Time]]-Table3[[#This Row],[Order Time]]</f>
        <v>1.319444444444462E-2</v>
      </c>
      <c r="L193" s="43">
        <v>19</v>
      </c>
      <c r="M193" s="10" t="s">
        <v>11</v>
      </c>
      <c r="N193" s="14"/>
      <c r="O193" s="14" t="s">
        <v>39</v>
      </c>
      <c r="P193" s="10" t="s">
        <v>20</v>
      </c>
      <c r="Q193" s="10"/>
    </row>
    <row r="194" spans="1:17" x14ac:dyDescent="0.25">
      <c r="A194" s="17">
        <f t="shared" si="8"/>
        <v>193</v>
      </c>
      <c r="B194" s="18">
        <v>42973</v>
      </c>
      <c r="C194" s="18" t="str">
        <f t="shared" si="9"/>
        <v>Saturday</v>
      </c>
      <c r="D194" s="10" t="str">
        <f t="shared" si="10"/>
        <v>Different</v>
      </c>
      <c r="E194" s="11">
        <v>73.069999999999993</v>
      </c>
      <c r="F194" s="11">
        <v>10</v>
      </c>
      <c r="G194" s="12">
        <f t="shared" si="11"/>
        <v>0.1368550704803613</v>
      </c>
      <c r="H194" s="11">
        <v>1.5</v>
      </c>
      <c r="I194" s="13">
        <v>0.7416666666666667</v>
      </c>
      <c r="J194" s="13">
        <v>0.7631944444444444</v>
      </c>
      <c r="K194" s="44">
        <f>Table3[[#This Row],[Delivery Time]]-Table3[[#This Row],[Order Time]]</f>
        <v>2.1527777777777701E-2</v>
      </c>
      <c r="L194" s="43">
        <v>31.000000000000004</v>
      </c>
      <c r="M194" s="10" t="s">
        <v>0</v>
      </c>
      <c r="N194" s="14"/>
      <c r="O194" s="14" t="s">
        <v>39</v>
      </c>
      <c r="P194" s="10" t="s">
        <v>20</v>
      </c>
      <c r="Q194" s="10"/>
    </row>
    <row r="195" spans="1:17" x14ac:dyDescent="0.25">
      <c r="A195" s="17">
        <f t="shared" si="8"/>
        <v>194</v>
      </c>
      <c r="B195" s="18">
        <v>42973</v>
      </c>
      <c r="C195" s="18" t="str">
        <f t="shared" si="9"/>
        <v>Saturday</v>
      </c>
      <c r="D195" s="10" t="str">
        <f t="shared" si="10"/>
        <v>Same</v>
      </c>
      <c r="E195" s="11">
        <v>80.430000000000007</v>
      </c>
      <c r="F195" s="11">
        <v>14</v>
      </c>
      <c r="G195" s="12">
        <f t="shared" si="11"/>
        <v>0.17406440382941687</v>
      </c>
      <c r="H195" s="11">
        <v>5</v>
      </c>
      <c r="I195" s="13">
        <v>0.74097222222222225</v>
      </c>
      <c r="J195" s="13">
        <v>0.76944444444444438</v>
      </c>
      <c r="K195" s="44">
        <f>Table3[[#This Row],[Delivery Time]]-Table3[[#This Row],[Order Time]]</f>
        <v>2.8472222222222121E-2</v>
      </c>
      <c r="L195" s="43">
        <v>41</v>
      </c>
      <c r="M195" s="10" t="s">
        <v>0</v>
      </c>
      <c r="N195" s="14"/>
      <c r="O195" s="14" t="s">
        <v>39</v>
      </c>
      <c r="P195" s="10" t="s">
        <v>20</v>
      </c>
      <c r="Q195" s="10"/>
    </row>
    <row r="196" spans="1:17" x14ac:dyDescent="0.25">
      <c r="A196" s="17">
        <f t="shared" si="8"/>
        <v>195</v>
      </c>
      <c r="B196" s="18">
        <v>42973</v>
      </c>
      <c r="C196" s="18" t="str">
        <f t="shared" si="9"/>
        <v>Saturday</v>
      </c>
      <c r="D196" s="10" t="str">
        <f t="shared" si="10"/>
        <v>Same</v>
      </c>
      <c r="E196" s="11">
        <v>86.11</v>
      </c>
      <c r="F196" s="11">
        <v>5</v>
      </c>
      <c r="G196" s="12">
        <f t="shared" si="11"/>
        <v>5.8065265358262688E-2</v>
      </c>
      <c r="H196" s="11">
        <v>1.5</v>
      </c>
      <c r="I196" s="13">
        <v>0.82291666666666663</v>
      </c>
      <c r="J196" s="13">
        <v>0.82291666666666663</v>
      </c>
      <c r="K196" s="44">
        <f>Table3[[#This Row],[Delivery Time]]-Table3[[#This Row],[Order Time]]</f>
        <v>0</v>
      </c>
      <c r="L196" s="43">
        <v>0</v>
      </c>
      <c r="M196" s="10" t="s">
        <v>0</v>
      </c>
      <c r="N196" s="14"/>
      <c r="O196" s="14" t="s">
        <v>39</v>
      </c>
      <c r="P196" s="10" t="s">
        <v>16</v>
      </c>
      <c r="Q196" s="10"/>
    </row>
    <row r="197" spans="1:17" x14ac:dyDescent="0.25">
      <c r="A197" s="17">
        <f t="shared" si="8"/>
        <v>196</v>
      </c>
      <c r="B197" s="18">
        <v>42973</v>
      </c>
      <c r="C197" s="18" t="str">
        <f t="shared" si="9"/>
        <v>Saturday</v>
      </c>
      <c r="D197" s="10" t="str">
        <f t="shared" si="10"/>
        <v>Same</v>
      </c>
      <c r="E197" s="11">
        <v>30.85</v>
      </c>
      <c r="F197" s="11">
        <v>8</v>
      </c>
      <c r="G197" s="12">
        <f t="shared" si="11"/>
        <v>0.2593192868719611</v>
      </c>
      <c r="H197" s="11">
        <v>1.5</v>
      </c>
      <c r="I197" s="13">
        <v>0.80138888888888893</v>
      </c>
      <c r="J197" s="13">
        <v>0.82638888888888884</v>
      </c>
      <c r="K197" s="44">
        <f>Table3[[#This Row],[Delivery Time]]-Table3[[#This Row],[Order Time]]</f>
        <v>2.4999999999999911E-2</v>
      </c>
      <c r="L197" s="43">
        <v>36</v>
      </c>
      <c r="M197" s="10" t="s">
        <v>0</v>
      </c>
      <c r="N197" s="14"/>
      <c r="O197" s="14" t="s">
        <v>39</v>
      </c>
      <c r="P197" s="10" t="s">
        <v>20</v>
      </c>
      <c r="Q197" s="10"/>
    </row>
    <row r="198" spans="1:17" x14ac:dyDescent="0.25">
      <c r="A198" s="17">
        <f t="shared" ref="A198:A261" si="12">ROW(A197)</f>
        <v>197</v>
      </c>
      <c r="B198" s="18">
        <v>42973</v>
      </c>
      <c r="C198" s="18" t="str">
        <f t="shared" ref="C198:C261" si="13">TEXT(B198,"dddd")</f>
        <v>Saturday</v>
      </c>
      <c r="D198" s="10" t="str">
        <f t="shared" ref="D198:D261" si="14">IF(B197=B198, "Same", "Different")</f>
        <v>Same</v>
      </c>
      <c r="E198" s="11">
        <v>85.57</v>
      </c>
      <c r="F198" s="11">
        <v>10</v>
      </c>
      <c r="G198" s="12">
        <f t="shared" ref="G198:G261" si="15">F198/E198</f>
        <v>0.11686338670094661</v>
      </c>
      <c r="H198" s="11">
        <v>1.5</v>
      </c>
      <c r="I198" s="13">
        <v>0.84236111111111101</v>
      </c>
      <c r="J198" s="13">
        <v>0.86805555555555547</v>
      </c>
      <c r="K198" s="44">
        <f>Table3[[#This Row],[Delivery Time]]-Table3[[#This Row],[Order Time]]</f>
        <v>2.5694444444444464E-2</v>
      </c>
      <c r="L198" s="43">
        <v>37</v>
      </c>
      <c r="M198" s="10" t="s">
        <v>0</v>
      </c>
      <c r="N198" s="14"/>
      <c r="O198" s="14" t="s">
        <v>39</v>
      </c>
      <c r="P198" s="10" t="s">
        <v>20</v>
      </c>
      <c r="Q198" s="10"/>
    </row>
    <row r="199" spans="1:17" x14ac:dyDescent="0.25">
      <c r="A199" s="17">
        <f t="shared" si="12"/>
        <v>198</v>
      </c>
      <c r="B199" s="18">
        <v>42973</v>
      </c>
      <c r="C199" s="18" t="str">
        <f t="shared" si="13"/>
        <v>Saturday</v>
      </c>
      <c r="D199" s="10" t="str">
        <f t="shared" si="14"/>
        <v>Same</v>
      </c>
      <c r="E199" s="11">
        <v>43.73</v>
      </c>
      <c r="F199" s="11">
        <v>5</v>
      </c>
      <c r="G199" s="12">
        <f t="shared" si="15"/>
        <v>0.11433798307797852</v>
      </c>
      <c r="H199" s="11">
        <v>1.5</v>
      </c>
      <c r="I199" s="13">
        <v>0.8520833333333333</v>
      </c>
      <c r="J199" s="13">
        <v>0.87708333333333333</v>
      </c>
      <c r="K199" s="44">
        <f>Table3[[#This Row],[Delivery Time]]-Table3[[#This Row],[Order Time]]</f>
        <v>2.5000000000000022E-2</v>
      </c>
      <c r="L199" s="43">
        <v>36</v>
      </c>
      <c r="M199" s="10" t="s">
        <v>0</v>
      </c>
      <c r="N199" s="14"/>
      <c r="O199" s="14" t="s">
        <v>39</v>
      </c>
      <c r="P199" s="10" t="s">
        <v>20</v>
      </c>
      <c r="Q199" s="10"/>
    </row>
    <row r="200" spans="1:17" x14ac:dyDescent="0.25">
      <c r="A200" s="17">
        <f t="shared" si="12"/>
        <v>199</v>
      </c>
      <c r="B200" s="18">
        <v>42973</v>
      </c>
      <c r="C200" s="18" t="str">
        <f t="shared" si="13"/>
        <v>Saturday</v>
      </c>
      <c r="D200" s="10" t="str">
        <f t="shared" si="14"/>
        <v>Same</v>
      </c>
      <c r="E200" s="11">
        <v>53.53</v>
      </c>
      <c r="F200" s="11">
        <v>7</v>
      </c>
      <c r="G200" s="12">
        <f t="shared" si="15"/>
        <v>0.13076779376050812</v>
      </c>
      <c r="H200" s="11">
        <v>1.5</v>
      </c>
      <c r="I200" s="13">
        <v>0.8979166666666667</v>
      </c>
      <c r="J200" s="13">
        <v>0.9159722222222223</v>
      </c>
      <c r="K200" s="44">
        <f>Table3[[#This Row],[Delivery Time]]-Table3[[#This Row],[Order Time]]</f>
        <v>1.8055555555555602E-2</v>
      </c>
      <c r="L200" s="43">
        <v>26</v>
      </c>
      <c r="M200" s="10" t="s">
        <v>11</v>
      </c>
      <c r="N200" s="14"/>
      <c r="O200" s="14" t="s">
        <v>41</v>
      </c>
      <c r="P200" s="10" t="s">
        <v>20</v>
      </c>
      <c r="Q200" s="10"/>
    </row>
    <row r="201" spans="1:17" x14ac:dyDescent="0.25">
      <c r="A201" s="17">
        <f t="shared" si="12"/>
        <v>200</v>
      </c>
      <c r="B201" s="18">
        <v>42974</v>
      </c>
      <c r="C201" s="18" t="str">
        <f t="shared" si="13"/>
        <v>Sunday</v>
      </c>
      <c r="D201" s="10" t="str">
        <f t="shared" si="14"/>
        <v>Different</v>
      </c>
      <c r="E201" s="11">
        <v>37.89</v>
      </c>
      <c r="F201" s="11">
        <v>5</v>
      </c>
      <c r="G201" s="12">
        <f t="shared" si="15"/>
        <v>0.13196093956188967</v>
      </c>
      <c r="H201" s="11">
        <v>1.5</v>
      </c>
      <c r="I201" s="13">
        <v>0.69236111111111109</v>
      </c>
      <c r="J201" s="13">
        <v>0.71250000000000002</v>
      </c>
      <c r="K201" s="44">
        <f>Table3[[#This Row],[Delivery Time]]-Table3[[#This Row],[Order Time]]</f>
        <v>2.0138888888888928E-2</v>
      </c>
      <c r="L201" s="43">
        <v>29.000000000000004</v>
      </c>
      <c r="M201" s="10" t="s">
        <v>11</v>
      </c>
      <c r="N201" s="14"/>
      <c r="O201" s="14" t="s">
        <v>39</v>
      </c>
      <c r="P201" s="10" t="s">
        <v>20</v>
      </c>
      <c r="Q201" s="10"/>
    </row>
    <row r="202" spans="1:17" x14ac:dyDescent="0.25">
      <c r="A202" s="17">
        <f t="shared" si="12"/>
        <v>201</v>
      </c>
      <c r="B202" s="18">
        <v>42974</v>
      </c>
      <c r="C202" s="18" t="str">
        <f t="shared" si="13"/>
        <v>Sunday</v>
      </c>
      <c r="D202" s="10" t="str">
        <f t="shared" si="14"/>
        <v>Same</v>
      </c>
      <c r="E202" s="11">
        <v>23.49</v>
      </c>
      <c r="F202" s="11">
        <v>3</v>
      </c>
      <c r="G202" s="12">
        <f t="shared" si="15"/>
        <v>0.1277139208173691</v>
      </c>
      <c r="H202" s="11">
        <v>1.5</v>
      </c>
      <c r="I202" s="13">
        <v>0.71250000000000002</v>
      </c>
      <c r="J202" s="13">
        <v>0.73402777777777783</v>
      </c>
      <c r="K202" s="44">
        <f>Table3[[#This Row],[Delivery Time]]-Table3[[#This Row],[Order Time]]</f>
        <v>2.1527777777777812E-2</v>
      </c>
      <c r="L202" s="43">
        <v>31.000000000000004</v>
      </c>
      <c r="M202" s="10" t="s">
        <v>0</v>
      </c>
      <c r="N202" s="14"/>
      <c r="O202" s="14" t="s">
        <v>39</v>
      </c>
      <c r="P202" s="10" t="s">
        <v>20</v>
      </c>
      <c r="Q202" s="10"/>
    </row>
    <row r="203" spans="1:17" x14ac:dyDescent="0.25">
      <c r="A203" s="17">
        <f t="shared" si="12"/>
        <v>202</v>
      </c>
      <c r="B203" s="18">
        <v>42974</v>
      </c>
      <c r="C203" s="18" t="str">
        <f t="shared" si="13"/>
        <v>Sunday</v>
      </c>
      <c r="D203" s="10" t="str">
        <f t="shared" si="14"/>
        <v>Same</v>
      </c>
      <c r="E203" s="11">
        <v>26.79</v>
      </c>
      <c r="F203" s="11">
        <v>5</v>
      </c>
      <c r="G203" s="12">
        <f t="shared" si="15"/>
        <v>0.1866368047779022</v>
      </c>
      <c r="H203" s="11">
        <v>1.5</v>
      </c>
      <c r="I203" s="13">
        <v>0.71736111111111101</v>
      </c>
      <c r="J203" s="13">
        <v>0.75277777777777777</v>
      </c>
      <c r="K203" s="44">
        <f>Table3[[#This Row],[Delivery Time]]-Table3[[#This Row],[Order Time]]</f>
        <v>3.5416666666666763E-2</v>
      </c>
      <c r="L203" s="43">
        <v>51</v>
      </c>
      <c r="M203" s="10" t="s">
        <v>0</v>
      </c>
      <c r="N203" s="14"/>
      <c r="O203" s="14" t="s">
        <v>41</v>
      </c>
      <c r="P203" s="10" t="s">
        <v>20</v>
      </c>
      <c r="Q203" s="10"/>
    </row>
    <row r="204" spans="1:17" x14ac:dyDescent="0.25">
      <c r="A204" s="17">
        <f t="shared" si="12"/>
        <v>203</v>
      </c>
      <c r="B204" s="18">
        <v>42974</v>
      </c>
      <c r="C204" s="18" t="str">
        <f t="shared" si="13"/>
        <v>Sunday</v>
      </c>
      <c r="D204" s="10" t="str">
        <f t="shared" si="14"/>
        <v>Same</v>
      </c>
      <c r="E204" s="11">
        <v>33.56</v>
      </c>
      <c r="F204" s="11">
        <v>3</v>
      </c>
      <c r="G204" s="12">
        <f t="shared" si="15"/>
        <v>8.9392133492252682E-2</v>
      </c>
      <c r="H204" s="11">
        <v>1.5</v>
      </c>
      <c r="I204" s="13">
        <v>0.76736111111111116</v>
      </c>
      <c r="J204" s="13">
        <v>0.78680555555555554</v>
      </c>
      <c r="K204" s="44">
        <f>Table3[[#This Row],[Delivery Time]]-Table3[[#This Row],[Order Time]]</f>
        <v>1.9444444444444375E-2</v>
      </c>
      <c r="L204" s="43">
        <v>28</v>
      </c>
      <c r="M204" s="10" t="s">
        <v>0</v>
      </c>
      <c r="N204" s="14"/>
      <c r="O204" s="14" t="s">
        <v>41</v>
      </c>
      <c r="P204" s="10" t="s">
        <v>20</v>
      </c>
      <c r="Q204" s="10"/>
    </row>
    <row r="205" spans="1:17" x14ac:dyDescent="0.25">
      <c r="A205" s="17">
        <f t="shared" si="12"/>
        <v>204</v>
      </c>
      <c r="B205" s="18">
        <v>42974</v>
      </c>
      <c r="C205" s="18" t="str">
        <f t="shared" si="13"/>
        <v>Sunday</v>
      </c>
      <c r="D205" s="10" t="str">
        <f t="shared" si="14"/>
        <v>Same</v>
      </c>
      <c r="E205" s="11">
        <v>35.4</v>
      </c>
      <c r="F205" s="11">
        <v>7</v>
      </c>
      <c r="G205" s="12">
        <f t="shared" si="15"/>
        <v>0.19774011299435029</v>
      </c>
      <c r="H205" s="11">
        <v>1.5</v>
      </c>
      <c r="I205" s="13">
        <v>0.81597222222222221</v>
      </c>
      <c r="J205" s="13">
        <v>0.8340277777777777</v>
      </c>
      <c r="K205" s="44">
        <f>Table3[[#This Row],[Delivery Time]]-Table3[[#This Row],[Order Time]]</f>
        <v>1.8055555555555491E-2</v>
      </c>
      <c r="L205" s="43">
        <v>26</v>
      </c>
      <c r="M205" s="10" t="s">
        <v>11</v>
      </c>
      <c r="N205" s="14"/>
      <c r="O205" s="14" t="s">
        <v>41</v>
      </c>
      <c r="P205" s="10" t="s">
        <v>20</v>
      </c>
      <c r="Q205" s="10"/>
    </row>
    <row r="206" spans="1:17" x14ac:dyDescent="0.25">
      <c r="A206" s="17">
        <f t="shared" si="12"/>
        <v>205</v>
      </c>
      <c r="B206" s="18">
        <v>42974</v>
      </c>
      <c r="C206" s="18" t="str">
        <f t="shared" si="13"/>
        <v>Sunday</v>
      </c>
      <c r="D206" s="10" t="str">
        <f t="shared" si="14"/>
        <v>Same</v>
      </c>
      <c r="E206" s="11">
        <v>22.41</v>
      </c>
      <c r="F206" s="11">
        <v>2</v>
      </c>
      <c r="G206" s="12">
        <f t="shared" si="15"/>
        <v>8.9245872378402494E-2</v>
      </c>
      <c r="H206" s="11">
        <v>1.5</v>
      </c>
      <c r="I206" s="13">
        <v>0.81666666666666676</v>
      </c>
      <c r="J206" s="13">
        <v>0.84444444444444444</v>
      </c>
      <c r="K206" s="44">
        <f>Table3[[#This Row],[Delivery Time]]-Table3[[#This Row],[Order Time]]</f>
        <v>2.7777777777777679E-2</v>
      </c>
      <c r="L206" s="43">
        <v>40</v>
      </c>
      <c r="M206" s="10" t="s">
        <v>11</v>
      </c>
      <c r="N206" s="14"/>
      <c r="O206" s="14" t="s">
        <v>39</v>
      </c>
      <c r="P206" s="10" t="s">
        <v>20</v>
      </c>
      <c r="Q206" s="10"/>
    </row>
    <row r="207" spans="1:17" x14ac:dyDescent="0.25">
      <c r="A207" s="17">
        <f t="shared" si="12"/>
        <v>206</v>
      </c>
      <c r="B207" s="18">
        <v>42974</v>
      </c>
      <c r="C207" s="18" t="str">
        <f t="shared" si="13"/>
        <v>Sunday</v>
      </c>
      <c r="D207" s="10" t="str">
        <f t="shared" si="14"/>
        <v>Same</v>
      </c>
      <c r="E207" s="11">
        <v>48.98</v>
      </c>
      <c r="F207" s="11">
        <v>5</v>
      </c>
      <c r="G207" s="12">
        <f t="shared" si="15"/>
        <v>0.10208248264597795</v>
      </c>
      <c r="H207" s="11">
        <v>1.5</v>
      </c>
      <c r="I207" s="13">
        <v>0.84375</v>
      </c>
      <c r="J207" s="13">
        <v>0.8652777777777777</v>
      </c>
      <c r="K207" s="44">
        <f>Table3[[#This Row],[Delivery Time]]-Table3[[#This Row],[Order Time]]</f>
        <v>2.1527777777777701E-2</v>
      </c>
      <c r="L207" s="43">
        <v>31.000000000000004</v>
      </c>
      <c r="M207" s="10" t="s">
        <v>0</v>
      </c>
      <c r="N207" s="14"/>
      <c r="O207" s="14" t="s">
        <v>39</v>
      </c>
      <c r="P207" s="10" t="s">
        <v>20</v>
      </c>
      <c r="Q207" s="10"/>
    </row>
    <row r="208" spans="1:17" x14ac:dyDescent="0.25">
      <c r="A208" s="17">
        <f t="shared" si="12"/>
        <v>207</v>
      </c>
      <c r="B208" s="18">
        <v>42979</v>
      </c>
      <c r="C208" s="18" t="str">
        <f t="shared" si="13"/>
        <v>Friday</v>
      </c>
      <c r="D208" s="10" t="str">
        <f t="shared" si="14"/>
        <v>Different</v>
      </c>
      <c r="E208" s="11">
        <v>24.57</v>
      </c>
      <c r="F208" s="11">
        <v>10</v>
      </c>
      <c r="G208" s="12">
        <f t="shared" si="15"/>
        <v>0.40700040700040702</v>
      </c>
      <c r="H208" s="11">
        <v>1.5</v>
      </c>
      <c r="I208" s="13">
        <v>0.70833333333333337</v>
      </c>
      <c r="J208" s="13">
        <v>0.7284722222222223</v>
      </c>
      <c r="K208" s="44">
        <f>Table3[[#This Row],[Delivery Time]]-Table3[[#This Row],[Order Time]]</f>
        <v>2.0138888888888928E-2</v>
      </c>
      <c r="L208" s="43">
        <v>29.000000000000004</v>
      </c>
      <c r="M208" s="10" t="s">
        <v>11</v>
      </c>
      <c r="N208" s="14"/>
      <c r="O208" s="14" t="s">
        <v>39</v>
      </c>
      <c r="P208" s="10" t="s">
        <v>20</v>
      </c>
      <c r="Q208" s="10"/>
    </row>
    <row r="209" spans="1:17" x14ac:dyDescent="0.25">
      <c r="A209" s="17">
        <f t="shared" si="12"/>
        <v>208</v>
      </c>
      <c r="B209" s="18">
        <v>42979</v>
      </c>
      <c r="C209" s="18" t="str">
        <f t="shared" si="13"/>
        <v>Friday</v>
      </c>
      <c r="D209" s="10" t="str">
        <f t="shared" si="14"/>
        <v>Same</v>
      </c>
      <c r="E209" s="11">
        <v>38.92</v>
      </c>
      <c r="F209" s="11">
        <v>4</v>
      </c>
      <c r="G209" s="12">
        <f t="shared" si="15"/>
        <v>0.10277492291880781</v>
      </c>
      <c r="H209" s="11">
        <v>1.5</v>
      </c>
      <c r="I209" s="13">
        <v>0.76736111111111116</v>
      </c>
      <c r="J209" s="13">
        <v>0.78888888888888886</v>
      </c>
      <c r="K209" s="44">
        <f>Table3[[#This Row],[Delivery Time]]-Table3[[#This Row],[Order Time]]</f>
        <v>2.1527777777777701E-2</v>
      </c>
      <c r="L209" s="43">
        <v>31.000000000000004</v>
      </c>
      <c r="M209" s="10" t="s">
        <v>12</v>
      </c>
      <c r="N209" s="14"/>
      <c r="O209" s="14" t="s">
        <v>41</v>
      </c>
      <c r="P209" s="10" t="s">
        <v>20</v>
      </c>
      <c r="Q209" s="10"/>
    </row>
    <row r="210" spans="1:17" x14ac:dyDescent="0.25">
      <c r="A210" s="17">
        <f t="shared" si="12"/>
        <v>209</v>
      </c>
      <c r="B210" s="18">
        <v>42979</v>
      </c>
      <c r="C210" s="18" t="str">
        <f t="shared" si="13"/>
        <v>Friday</v>
      </c>
      <c r="D210" s="10" t="str">
        <f t="shared" si="14"/>
        <v>Same</v>
      </c>
      <c r="E210" s="11">
        <v>34.26</v>
      </c>
      <c r="F210" s="11">
        <v>10</v>
      </c>
      <c r="G210" s="12">
        <f t="shared" si="15"/>
        <v>0.29188558085230593</v>
      </c>
      <c r="H210" s="11">
        <v>1.5</v>
      </c>
      <c r="I210" s="13">
        <v>0.7993055555555556</v>
      </c>
      <c r="J210" s="13">
        <v>0.82361111111111107</v>
      </c>
      <c r="K210" s="44">
        <f>Table3[[#This Row],[Delivery Time]]-Table3[[#This Row],[Order Time]]</f>
        <v>2.4305555555555469E-2</v>
      </c>
      <c r="L210" s="43">
        <v>35</v>
      </c>
      <c r="M210" s="10" t="s">
        <v>0</v>
      </c>
      <c r="N210" s="14" t="s">
        <v>24</v>
      </c>
      <c r="O210" s="14" t="s">
        <v>39</v>
      </c>
      <c r="P210" s="10" t="s">
        <v>20</v>
      </c>
      <c r="Q210" s="10"/>
    </row>
    <row r="211" spans="1:17" x14ac:dyDescent="0.25">
      <c r="A211" s="17">
        <f t="shared" si="12"/>
        <v>210</v>
      </c>
      <c r="B211" s="18">
        <v>42979</v>
      </c>
      <c r="C211" s="18" t="str">
        <f t="shared" si="13"/>
        <v>Friday</v>
      </c>
      <c r="D211" s="10" t="str">
        <f t="shared" si="14"/>
        <v>Same</v>
      </c>
      <c r="E211" s="11">
        <v>34.64</v>
      </c>
      <c r="F211" s="11">
        <v>5</v>
      </c>
      <c r="G211" s="12">
        <f t="shared" si="15"/>
        <v>0.14434180138568128</v>
      </c>
      <c r="H211" s="11">
        <v>1.5</v>
      </c>
      <c r="I211" s="13">
        <v>0.80694444444444446</v>
      </c>
      <c r="J211" s="13">
        <v>0.83263888888888893</v>
      </c>
      <c r="K211" s="44">
        <f>Table3[[#This Row],[Delivery Time]]-Table3[[#This Row],[Order Time]]</f>
        <v>2.5694444444444464E-2</v>
      </c>
      <c r="L211" s="43">
        <v>37</v>
      </c>
      <c r="M211" s="10" t="s">
        <v>0</v>
      </c>
      <c r="N211" s="14"/>
      <c r="O211" s="14" t="s">
        <v>39</v>
      </c>
      <c r="P211" s="10" t="s">
        <v>20</v>
      </c>
      <c r="Q211" s="10"/>
    </row>
    <row r="212" spans="1:17" x14ac:dyDescent="0.25">
      <c r="A212" s="17">
        <f t="shared" si="12"/>
        <v>211</v>
      </c>
      <c r="B212" s="18">
        <v>42979</v>
      </c>
      <c r="C212" s="18" t="str">
        <f t="shared" si="13"/>
        <v>Friday</v>
      </c>
      <c r="D212" s="10" t="str">
        <f t="shared" si="14"/>
        <v>Same</v>
      </c>
      <c r="E212" s="11">
        <v>96.23</v>
      </c>
      <c r="F212" s="11">
        <v>20</v>
      </c>
      <c r="G212" s="12">
        <f t="shared" si="15"/>
        <v>0.2078353943676608</v>
      </c>
      <c r="H212" s="11">
        <v>5</v>
      </c>
      <c r="I212" s="13">
        <v>0.80833333333333324</v>
      </c>
      <c r="J212" s="13">
        <v>0.84236111111111101</v>
      </c>
      <c r="K212" s="44">
        <f>Table3[[#This Row],[Delivery Time]]-Table3[[#This Row],[Order Time]]</f>
        <v>3.4027777777777768E-2</v>
      </c>
      <c r="L212" s="43">
        <v>49</v>
      </c>
      <c r="M212" s="10" t="s">
        <v>0</v>
      </c>
      <c r="N212" s="14"/>
      <c r="O212" s="14" t="s">
        <v>39</v>
      </c>
      <c r="P212" s="10" t="s">
        <v>20</v>
      </c>
      <c r="Q212" s="10"/>
    </row>
    <row r="213" spans="1:17" x14ac:dyDescent="0.25">
      <c r="A213" s="17">
        <f t="shared" si="12"/>
        <v>212</v>
      </c>
      <c r="B213" s="18">
        <v>42979</v>
      </c>
      <c r="C213" s="18" t="str">
        <f t="shared" si="13"/>
        <v>Friday</v>
      </c>
      <c r="D213" s="10" t="str">
        <f t="shared" si="14"/>
        <v>Same</v>
      </c>
      <c r="E213" s="11">
        <v>50.99</v>
      </c>
      <c r="F213" s="11">
        <v>12</v>
      </c>
      <c r="G213" s="12">
        <f t="shared" si="15"/>
        <v>0.23534026279662679</v>
      </c>
      <c r="H213" s="11">
        <v>1.5</v>
      </c>
      <c r="I213" s="13">
        <v>0.86041666666666661</v>
      </c>
      <c r="J213" s="13">
        <v>0.87916666666666676</v>
      </c>
      <c r="K213" s="44">
        <f>Table3[[#This Row],[Delivery Time]]-Table3[[#This Row],[Order Time]]</f>
        <v>1.8750000000000155E-2</v>
      </c>
      <c r="L213" s="43">
        <v>26.999999999999996</v>
      </c>
      <c r="M213" s="10" t="s">
        <v>0</v>
      </c>
      <c r="N213" s="14"/>
      <c r="O213" s="14" t="s">
        <v>39</v>
      </c>
      <c r="P213" s="10" t="s">
        <v>20</v>
      </c>
      <c r="Q213" s="10"/>
    </row>
    <row r="214" spans="1:17" x14ac:dyDescent="0.25">
      <c r="A214" s="17">
        <f t="shared" si="12"/>
        <v>213</v>
      </c>
      <c r="B214" s="18">
        <v>42979</v>
      </c>
      <c r="C214" s="18" t="str">
        <f t="shared" si="13"/>
        <v>Friday</v>
      </c>
      <c r="D214" s="10" t="str">
        <f t="shared" si="14"/>
        <v>Same</v>
      </c>
      <c r="E214" s="11">
        <v>21.65</v>
      </c>
      <c r="F214" s="11">
        <v>6.35</v>
      </c>
      <c r="G214" s="12">
        <f t="shared" si="15"/>
        <v>0.29330254041570442</v>
      </c>
      <c r="H214" s="11">
        <v>1.5</v>
      </c>
      <c r="I214" s="13">
        <v>0.86111111111111116</v>
      </c>
      <c r="J214" s="13">
        <v>0.88750000000000007</v>
      </c>
      <c r="K214" s="44">
        <f>Table3[[#This Row],[Delivery Time]]-Table3[[#This Row],[Order Time]]</f>
        <v>2.6388888888888906E-2</v>
      </c>
      <c r="L214" s="43">
        <v>38</v>
      </c>
      <c r="M214" s="10" t="s">
        <v>0</v>
      </c>
      <c r="N214" s="14"/>
      <c r="O214" s="14" t="s">
        <v>40</v>
      </c>
      <c r="P214" s="10" t="s">
        <v>20</v>
      </c>
      <c r="Q214" s="10"/>
    </row>
    <row r="215" spans="1:17" x14ac:dyDescent="0.25">
      <c r="A215" s="17">
        <f t="shared" si="12"/>
        <v>214</v>
      </c>
      <c r="B215" s="18">
        <v>42979</v>
      </c>
      <c r="C215" s="18" t="str">
        <f t="shared" si="13"/>
        <v>Friday</v>
      </c>
      <c r="D215" s="10" t="str">
        <f t="shared" si="14"/>
        <v>Same</v>
      </c>
      <c r="E215" s="11">
        <v>36.26</v>
      </c>
      <c r="F215" s="11">
        <v>8</v>
      </c>
      <c r="G215" s="12">
        <f t="shared" si="15"/>
        <v>0.22062879205736349</v>
      </c>
      <c r="H215" s="11">
        <v>5</v>
      </c>
      <c r="I215" s="13">
        <v>0.90972222222222221</v>
      </c>
      <c r="J215" s="13">
        <v>0.9291666666666667</v>
      </c>
      <c r="K215" s="44">
        <f>Table3[[#This Row],[Delivery Time]]-Table3[[#This Row],[Order Time]]</f>
        <v>1.9444444444444486E-2</v>
      </c>
      <c r="L215" s="43">
        <v>28</v>
      </c>
      <c r="M215" s="10" t="s">
        <v>0</v>
      </c>
      <c r="N215" s="14"/>
      <c r="O215" s="14" t="s">
        <v>40</v>
      </c>
      <c r="P215" s="10" t="s">
        <v>20</v>
      </c>
      <c r="Q215" s="10"/>
    </row>
    <row r="216" spans="1:17" x14ac:dyDescent="0.25">
      <c r="A216" s="17">
        <f t="shared" si="12"/>
        <v>215</v>
      </c>
      <c r="B216" s="18">
        <v>42980</v>
      </c>
      <c r="C216" s="18" t="str">
        <f t="shared" si="13"/>
        <v>Saturday</v>
      </c>
      <c r="D216" s="10" t="str">
        <f t="shared" si="14"/>
        <v>Different</v>
      </c>
      <c r="E216" s="11">
        <v>72.37</v>
      </c>
      <c r="F216" s="11">
        <v>7</v>
      </c>
      <c r="G216" s="12">
        <f t="shared" si="15"/>
        <v>9.6725162360093958E-2</v>
      </c>
      <c r="H216" s="11">
        <v>1.5</v>
      </c>
      <c r="I216" s="13">
        <v>0.72777777777777775</v>
      </c>
      <c r="J216" s="13">
        <v>0.75</v>
      </c>
      <c r="K216" s="44">
        <f>Table3[[#This Row],[Delivery Time]]-Table3[[#This Row],[Order Time]]</f>
        <v>2.2222222222222254E-2</v>
      </c>
      <c r="L216" s="43">
        <v>32</v>
      </c>
      <c r="M216" s="10" t="s">
        <v>11</v>
      </c>
      <c r="N216" s="14"/>
      <c r="O216" s="14" t="s">
        <v>39</v>
      </c>
      <c r="P216" s="10" t="s">
        <v>20</v>
      </c>
      <c r="Q216" s="10"/>
    </row>
    <row r="217" spans="1:17" x14ac:dyDescent="0.25">
      <c r="A217" s="17">
        <f t="shared" si="12"/>
        <v>216</v>
      </c>
      <c r="B217" s="18">
        <v>42980</v>
      </c>
      <c r="C217" s="18" t="str">
        <f t="shared" si="13"/>
        <v>Saturday</v>
      </c>
      <c r="D217" s="10" t="str">
        <f t="shared" si="14"/>
        <v>Same</v>
      </c>
      <c r="E217" s="11">
        <v>35.130000000000003</v>
      </c>
      <c r="F217" s="11">
        <v>5</v>
      </c>
      <c r="G217" s="12">
        <f t="shared" si="15"/>
        <v>0.14232849416453172</v>
      </c>
      <c r="H217" s="11">
        <v>1.5</v>
      </c>
      <c r="I217" s="13">
        <v>0.73541666666666661</v>
      </c>
      <c r="J217" s="13">
        <v>0.75694444444444453</v>
      </c>
      <c r="K217" s="44">
        <f>Table3[[#This Row],[Delivery Time]]-Table3[[#This Row],[Order Time]]</f>
        <v>2.1527777777777923E-2</v>
      </c>
      <c r="L217" s="43">
        <v>31.000000000000004</v>
      </c>
      <c r="M217" s="10" t="s">
        <v>11</v>
      </c>
      <c r="N217" s="14"/>
      <c r="O217" s="14" t="s">
        <v>39</v>
      </c>
      <c r="P217" s="10" t="s">
        <v>20</v>
      </c>
      <c r="Q217" s="10"/>
    </row>
    <row r="218" spans="1:17" x14ac:dyDescent="0.25">
      <c r="A218" s="17">
        <f t="shared" si="12"/>
        <v>217</v>
      </c>
      <c r="B218" s="18">
        <v>42980</v>
      </c>
      <c r="C218" s="18" t="str">
        <f t="shared" si="13"/>
        <v>Saturday</v>
      </c>
      <c r="D218" s="10" t="str">
        <f t="shared" si="14"/>
        <v>Same</v>
      </c>
      <c r="E218" s="11">
        <v>49.69</v>
      </c>
      <c r="F218" s="11">
        <v>10.09</v>
      </c>
      <c r="G218" s="12">
        <f t="shared" si="15"/>
        <v>0.20305896558663716</v>
      </c>
      <c r="H218" s="11">
        <v>1.5</v>
      </c>
      <c r="I218" s="13">
        <v>0.7895833333333333</v>
      </c>
      <c r="J218" s="13">
        <v>0.81944444444444453</v>
      </c>
      <c r="K218" s="44">
        <f>Table3[[#This Row],[Delivery Time]]-Table3[[#This Row],[Order Time]]</f>
        <v>2.9861111111111227E-2</v>
      </c>
      <c r="L218" s="43">
        <v>43</v>
      </c>
      <c r="M218" s="10" t="s">
        <v>0</v>
      </c>
      <c r="N218" s="28" t="s">
        <v>23</v>
      </c>
      <c r="O218" s="14" t="s">
        <v>39</v>
      </c>
      <c r="P218" s="10" t="s">
        <v>20</v>
      </c>
      <c r="Q218" s="10"/>
    </row>
    <row r="219" spans="1:17" x14ac:dyDescent="0.25">
      <c r="A219" s="17">
        <f t="shared" si="12"/>
        <v>218</v>
      </c>
      <c r="B219" s="18">
        <v>42980</v>
      </c>
      <c r="C219" s="18" t="str">
        <f t="shared" si="13"/>
        <v>Saturday</v>
      </c>
      <c r="D219" s="10" t="str">
        <f t="shared" si="14"/>
        <v>Same</v>
      </c>
      <c r="E219" s="11">
        <v>39.97</v>
      </c>
      <c r="F219" s="11">
        <v>6</v>
      </c>
      <c r="G219" s="12">
        <f t="shared" si="15"/>
        <v>0.15011258443832876</v>
      </c>
      <c r="H219" s="11">
        <v>5</v>
      </c>
      <c r="I219" s="13">
        <v>0.80347222222222225</v>
      </c>
      <c r="J219" s="13">
        <v>0.83263888888888893</v>
      </c>
      <c r="K219" s="44">
        <f>Table3[[#This Row],[Delivery Time]]-Table3[[#This Row],[Order Time]]</f>
        <v>2.9166666666666674E-2</v>
      </c>
      <c r="L219" s="43">
        <v>42</v>
      </c>
      <c r="M219" s="10" t="s">
        <v>0</v>
      </c>
      <c r="N219" s="14"/>
      <c r="O219" s="14" t="s">
        <v>39</v>
      </c>
      <c r="P219" s="10" t="s">
        <v>20</v>
      </c>
      <c r="Q219" s="10"/>
    </row>
    <row r="220" spans="1:17" x14ac:dyDescent="0.25">
      <c r="A220" s="17">
        <f t="shared" si="12"/>
        <v>219</v>
      </c>
      <c r="B220" s="18">
        <v>42980</v>
      </c>
      <c r="C220" s="18" t="str">
        <f t="shared" si="13"/>
        <v>Saturday</v>
      </c>
      <c r="D220" s="10" t="str">
        <f t="shared" si="14"/>
        <v>Same</v>
      </c>
      <c r="E220" s="11">
        <v>119.56</v>
      </c>
      <c r="F220" s="11">
        <v>20</v>
      </c>
      <c r="G220" s="12">
        <f t="shared" si="15"/>
        <v>0.16728002676480427</v>
      </c>
      <c r="H220" s="11">
        <v>7</v>
      </c>
      <c r="I220" s="13">
        <v>0.79791666666666661</v>
      </c>
      <c r="J220" s="13">
        <v>0.8354166666666667</v>
      </c>
      <c r="K220" s="44">
        <f>Table3[[#This Row],[Delivery Time]]-Table3[[#This Row],[Order Time]]</f>
        <v>3.7500000000000089E-2</v>
      </c>
      <c r="L220" s="43">
        <v>53.999999999999993</v>
      </c>
      <c r="M220" s="10" t="s">
        <v>0</v>
      </c>
      <c r="N220" s="14"/>
      <c r="O220" s="14" t="s">
        <v>39</v>
      </c>
      <c r="P220" s="10" t="s">
        <v>20</v>
      </c>
      <c r="Q220" s="10"/>
    </row>
    <row r="221" spans="1:17" x14ac:dyDescent="0.25">
      <c r="A221" s="17">
        <f t="shared" si="12"/>
        <v>220</v>
      </c>
      <c r="B221" s="18">
        <v>42980</v>
      </c>
      <c r="C221" s="18" t="str">
        <f t="shared" si="13"/>
        <v>Saturday</v>
      </c>
      <c r="D221" s="10" t="str">
        <f t="shared" si="14"/>
        <v>Same</v>
      </c>
      <c r="E221" s="11">
        <v>44.33</v>
      </c>
      <c r="F221" s="11">
        <v>5</v>
      </c>
      <c r="G221" s="12">
        <f t="shared" si="15"/>
        <v>0.11279043537108054</v>
      </c>
      <c r="H221" s="11">
        <v>1.5</v>
      </c>
      <c r="I221" s="13">
        <v>0.85416666666666663</v>
      </c>
      <c r="J221" s="13">
        <v>0.87361111111111101</v>
      </c>
      <c r="K221" s="44">
        <f>Table3[[#This Row],[Delivery Time]]-Table3[[#This Row],[Order Time]]</f>
        <v>1.9444444444444375E-2</v>
      </c>
      <c r="L221" s="43">
        <v>28</v>
      </c>
      <c r="M221" s="10" t="s">
        <v>11</v>
      </c>
      <c r="N221" s="14"/>
      <c r="O221" s="14" t="s">
        <v>39</v>
      </c>
      <c r="P221" s="10" t="s">
        <v>20</v>
      </c>
      <c r="Q221" s="10"/>
    </row>
    <row r="222" spans="1:17" x14ac:dyDescent="0.25">
      <c r="A222" s="17">
        <f t="shared" si="12"/>
        <v>221</v>
      </c>
      <c r="B222" s="18">
        <v>42980</v>
      </c>
      <c r="C222" s="18" t="str">
        <f t="shared" si="13"/>
        <v>Saturday</v>
      </c>
      <c r="D222" s="10" t="str">
        <f t="shared" si="14"/>
        <v>Same</v>
      </c>
      <c r="E222" s="11">
        <v>49.25</v>
      </c>
      <c r="F222" s="11">
        <v>10.75</v>
      </c>
      <c r="G222" s="12">
        <f t="shared" si="15"/>
        <v>0.21827411167512689</v>
      </c>
      <c r="H222" s="11">
        <v>1.5</v>
      </c>
      <c r="I222" s="13">
        <v>0.8965277777777777</v>
      </c>
      <c r="J222" s="13">
        <v>0.90833333333333333</v>
      </c>
      <c r="K222" s="44">
        <f>Table3[[#This Row],[Delivery Time]]-Table3[[#This Row],[Order Time]]</f>
        <v>1.1805555555555625E-2</v>
      </c>
      <c r="L222" s="43">
        <v>17</v>
      </c>
      <c r="M222" s="10" t="s">
        <v>0</v>
      </c>
      <c r="N222" s="14"/>
      <c r="O222" s="14" t="s">
        <v>39</v>
      </c>
      <c r="P222" s="10" t="s">
        <v>20</v>
      </c>
      <c r="Q222" s="10"/>
    </row>
    <row r="223" spans="1:17" x14ac:dyDescent="0.25">
      <c r="A223" s="17">
        <f t="shared" si="12"/>
        <v>222</v>
      </c>
      <c r="B223" s="18">
        <v>42981</v>
      </c>
      <c r="C223" s="18" t="str">
        <f t="shared" si="13"/>
        <v>Sunday</v>
      </c>
      <c r="D223" s="10" t="str">
        <f t="shared" si="14"/>
        <v>Different</v>
      </c>
      <c r="E223" s="11">
        <v>20.57</v>
      </c>
      <c r="F223" s="11">
        <v>2.4300000000000002</v>
      </c>
      <c r="G223" s="12">
        <f t="shared" si="15"/>
        <v>0.11813320369470102</v>
      </c>
      <c r="H223" s="11">
        <v>1.5</v>
      </c>
      <c r="I223" s="13">
        <v>0.69930555555555562</v>
      </c>
      <c r="J223" s="13">
        <v>0.72013888888888899</v>
      </c>
      <c r="K223" s="44">
        <f>Table3[[#This Row],[Delivery Time]]-Table3[[#This Row],[Order Time]]</f>
        <v>2.083333333333337E-2</v>
      </c>
      <c r="L223" s="43">
        <v>30</v>
      </c>
      <c r="M223" s="10" t="s">
        <v>11</v>
      </c>
      <c r="N223" s="14"/>
      <c r="O223" s="14" t="s">
        <v>39</v>
      </c>
      <c r="P223" s="10" t="s">
        <v>20</v>
      </c>
      <c r="Q223" s="10"/>
    </row>
    <row r="224" spans="1:17" x14ac:dyDescent="0.25">
      <c r="A224" s="17">
        <f t="shared" si="12"/>
        <v>223</v>
      </c>
      <c r="B224" s="18">
        <v>42981</v>
      </c>
      <c r="C224" s="18" t="str">
        <f t="shared" si="13"/>
        <v>Sunday</v>
      </c>
      <c r="D224" s="10" t="str">
        <f t="shared" si="14"/>
        <v>Same</v>
      </c>
      <c r="E224" s="11">
        <v>19.7</v>
      </c>
      <c r="F224" s="11">
        <v>4</v>
      </c>
      <c r="G224" s="12">
        <f t="shared" si="15"/>
        <v>0.20304568527918782</v>
      </c>
      <c r="H224" s="11">
        <v>1.5</v>
      </c>
      <c r="I224" s="13">
        <v>0.74236111111111114</v>
      </c>
      <c r="J224" s="13">
        <v>0.75763888888888886</v>
      </c>
      <c r="K224" s="44">
        <f>Table3[[#This Row],[Delivery Time]]-Table3[[#This Row],[Order Time]]</f>
        <v>1.5277777777777724E-2</v>
      </c>
      <c r="L224" s="43">
        <v>22</v>
      </c>
      <c r="M224" s="10" t="s">
        <v>11</v>
      </c>
      <c r="N224" s="14"/>
      <c r="O224" s="14" t="s">
        <v>39</v>
      </c>
      <c r="P224" s="10" t="s">
        <v>20</v>
      </c>
      <c r="Q224" s="10"/>
    </row>
    <row r="225" spans="1:17" x14ac:dyDescent="0.25">
      <c r="A225" s="17">
        <f t="shared" si="12"/>
        <v>224</v>
      </c>
      <c r="B225" s="18">
        <v>42981</v>
      </c>
      <c r="C225" s="18" t="str">
        <f t="shared" si="13"/>
        <v>Sunday</v>
      </c>
      <c r="D225" s="10" t="str">
        <f t="shared" si="14"/>
        <v>Same</v>
      </c>
      <c r="E225" s="11">
        <v>150.31</v>
      </c>
      <c r="F225" s="11">
        <v>20</v>
      </c>
      <c r="G225" s="12">
        <f t="shared" si="15"/>
        <v>0.13305834608475817</v>
      </c>
      <c r="H225" s="11">
        <v>5</v>
      </c>
      <c r="I225" s="13">
        <v>0.79166666666666663</v>
      </c>
      <c r="J225" s="13">
        <v>0.79166666666666663</v>
      </c>
      <c r="K225" s="44">
        <f>Table3[[#This Row],[Delivery Time]]-Table3[[#This Row],[Order Time]]</f>
        <v>0</v>
      </c>
      <c r="L225" s="43">
        <v>0</v>
      </c>
      <c r="M225" s="10" t="s">
        <v>0</v>
      </c>
      <c r="N225" s="14"/>
      <c r="O225" s="14" t="s">
        <v>39</v>
      </c>
      <c r="P225" s="10" t="s">
        <v>16</v>
      </c>
      <c r="Q225" s="10"/>
    </row>
    <row r="226" spans="1:17" x14ac:dyDescent="0.25">
      <c r="A226" s="17">
        <f t="shared" si="12"/>
        <v>225</v>
      </c>
      <c r="B226" s="18">
        <v>42981</v>
      </c>
      <c r="C226" s="18" t="str">
        <f t="shared" si="13"/>
        <v>Sunday</v>
      </c>
      <c r="D226" s="10" t="str">
        <f t="shared" si="14"/>
        <v>Same</v>
      </c>
      <c r="E226" s="11">
        <v>37.35</v>
      </c>
      <c r="F226" s="11">
        <v>4</v>
      </c>
      <c r="G226" s="12">
        <f t="shared" si="15"/>
        <v>0.107095046854083</v>
      </c>
      <c r="H226" s="11">
        <v>1.5</v>
      </c>
      <c r="I226" s="13">
        <v>0.76666666666666661</v>
      </c>
      <c r="J226" s="13">
        <v>0.7993055555555556</v>
      </c>
      <c r="K226" s="44">
        <f>Table3[[#This Row],[Delivery Time]]-Table3[[#This Row],[Order Time]]</f>
        <v>3.2638888888888995E-2</v>
      </c>
      <c r="L226" s="43">
        <v>47.000000000000007</v>
      </c>
      <c r="M226" s="10" t="s">
        <v>0</v>
      </c>
      <c r="N226" s="14"/>
      <c r="O226" s="14" t="s">
        <v>39</v>
      </c>
      <c r="P226" s="10" t="s">
        <v>20</v>
      </c>
      <c r="Q226" s="10"/>
    </row>
    <row r="227" spans="1:17" x14ac:dyDescent="0.25">
      <c r="A227" s="17">
        <f t="shared" si="12"/>
        <v>226</v>
      </c>
      <c r="B227" s="18">
        <v>42981</v>
      </c>
      <c r="C227" s="18" t="str">
        <f t="shared" si="13"/>
        <v>Sunday</v>
      </c>
      <c r="D227" s="10" t="str">
        <f t="shared" si="14"/>
        <v>Same</v>
      </c>
      <c r="E227" s="11">
        <v>27.01</v>
      </c>
      <c r="F227" s="11">
        <v>7.99</v>
      </c>
      <c r="G227" s="12">
        <f t="shared" si="15"/>
        <v>0.29581636430951497</v>
      </c>
      <c r="H227" s="11">
        <v>1.5</v>
      </c>
      <c r="I227" s="13">
        <v>0.8027777777777777</v>
      </c>
      <c r="J227" s="13">
        <v>0.81805555555555554</v>
      </c>
      <c r="K227" s="44">
        <f>Table3[[#This Row],[Delivery Time]]-Table3[[#This Row],[Order Time]]</f>
        <v>1.5277777777777835E-2</v>
      </c>
      <c r="L227" s="43">
        <v>22</v>
      </c>
      <c r="M227" s="10" t="s">
        <v>0</v>
      </c>
      <c r="N227" s="14"/>
      <c r="O227" s="14" t="s">
        <v>40</v>
      </c>
      <c r="P227" s="10" t="s">
        <v>20</v>
      </c>
      <c r="Q227" s="10"/>
    </row>
    <row r="228" spans="1:17" x14ac:dyDescent="0.25">
      <c r="A228" s="17">
        <f t="shared" si="12"/>
        <v>227</v>
      </c>
      <c r="B228" s="18">
        <v>42981</v>
      </c>
      <c r="C228" s="18" t="str">
        <f t="shared" si="13"/>
        <v>Sunday</v>
      </c>
      <c r="D228" s="10" t="str">
        <f t="shared" si="14"/>
        <v>Same</v>
      </c>
      <c r="E228" s="11">
        <v>22.14</v>
      </c>
      <c r="F228" s="11">
        <v>3</v>
      </c>
      <c r="G228" s="12">
        <f t="shared" si="15"/>
        <v>0.13550135501355012</v>
      </c>
      <c r="H228" s="11">
        <v>5</v>
      </c>
      <c r="I228" s="13">
        <v>0.7993055555555556</v>
      </c>
      <c r="J228" s="13">
        <v>0.83124999999999993</v>
      </c>
      <c r="K228" s="44">
        <f>Table3[[#This Row],[Delivery Time]]-Table3[[#This Row],[Order Time]]</f>
        <v>3.1944444444444331E-2</v>
      </c>
      <c r="L228" s="43">
        <v>46.000000000000007</v>
      </c>
      <c r="M228" s="10" t="s">
        <v>0</v>
      </c>
      <c r="N228" s="14"/>
      <c r="O228" s="14" t="s">
        <v>39</v>
      </c>
      <c r="P228" s="10" t="s">
        <v>20</v>
      </c>
      <c r="Q228" s="10"/>
    </row>
    <row r="229" spans="1:17" x14ac:dyDescent="0.25">
      <c r="A229" s="17">
        <f t="shared" si="12"/>
        <v>228</v>
      </c>
      <c r="B229" s="18">
        <v>42981</v>
      </c>
      <c r="C229" s="18" t="str">
        <f t="shared" si="13"/>
        <v>Sunday</v>
      </c>
      <c r="D229" s="10" t="str">
        <f t="shared" si="14"/>
        <v>Same</v>
      </c>
      <c r="E229" s="11">
        <v>44.82</v>
      </c>
      <c r="F229" s="11">
        <v>6</v>
      </c>
      <c r="G229" s="12">
        <f t="shared" si="15"/>
        <v>0.13386880856760375</v>
      </c>
      <c r="H229" s="11">
        <v>5</v>
      </c>
      <c r="I229" s="13">
        <v>0.8041666666666667</v>
      </c>
      <c r="J229" s="13">
        <v>0.84166666666666667</v>
      </c>
      <c r="K229" s="44">
        <f>Table3[[#This Row],[Delivery Time]]-Table3[[#This Row],[Order Time]]</f>
        <v>3.7499999999999978E-2</v>
      </c>
      <c r="L229" s="43">
        <v>53.999999999999993</v>
      </c>
      <c r="M229" s="10" t="s">
        <v>0</v>
      </c>
      <c r="N229" s="14"/>
      <c r="O229" s="14" t="s">
        <v>39</v>
      </c>
      <c r="P229" s="10" t="s">
        <v>20</v>
      </c>
      <c r="Q229" s="10"/>
    </row>
    <row r="230" spans="1:17" x14ac:dyDescent="0.25">
      <c r="A230" s="17">
        <f t="shared" si="12"/>
        <v>229</v>
      </c>
      <c r="B230" s="18">
        <v>42982</v>
      </c>
      <c r="C230" s="18" t="str">
        <f t="shared" si="13"/>
        <v>Monday</v>
      </c>
      <c r="D230" s="10" t="str">
        <f t="shared" si="14"/>
        <v>Different</v>
      </c>
      <c r="E230" s="11">
        <v>38.92</v>
      </c>
      <c r="F230" s="11">
        <v>5</v>
      </c>
      <c r="G230" s="12">
        <f t="shared" si="15"/>
        <v>0.12846865364850976</v>
      </c>
      <c r="H230" s="11">
        <v>1.5</v>
      </c>
      <c r="I230" s="13">
        <v>0.70347222222222217</v>
      </c>
      <c r="J230" s="13">
        <v>0.72361111111111109</v>
      </c>
      <c r="K230" s="44">
        <f>Table3[[#This Row],[Delivery Time]]-Table3[[#This Row],[Order Time]]</f>
        <v>2.0138888888888928E-2</v>
      </c>
      <c r="L230" s="43">
        <v>29.000000000000004</v>
      </c>
      <c r="M230" s="10" t="s">
        <v>0</v>
      </c>
      <c r="N230" s="14" t="s">
        <v>25</v>
      </c>
      <c r="O230" s="14" t="s">
        <v>39</v>
      </c>
      <c r="P230" s="10" t="s">
        <v>20</v>
      </c>
      <c r="Q230" s="10"/>
    </row>
    <row r="231" spans="1:17" x14ac:dyDescent="0.25">
      <c r="A231" s="17">
        <f t="shared" si="12"/>
        <v>230</v>
      </c>
      <c r="B231" s="18">
        <v>42982</v>
      </c>
      <c r="C231" s="18" t="str">
        <f t="shared" si="13"/>
        <v>Monday</v>
      </c>
      <c r="D231" s="10" t="str">
        <f t="shared" si="14"/>
        <v>Same</v>
      </c>
      <c r="E231" s="11">
        <v>26.74</v>
      </c>
      <c r="F231" s="11">
        <v>5</v>
      </c>
      <c r="G231" s="12">
        <f t="shared" si="15"/>
        <v>0.18698578908002994</v>
      </c>
      <c r="H231" s="11">
        <v>1.5</v>
      </c>
      <c r="I231" s="13">
        <v>0.70833333333333337</v>
      </c>
      <c r="J231" s="13">
        <v>0.72916666666666663</v>
      </c>
      <c r="K231" s="44">
        <f>Table3[[#This Row],[Delivery Time]]-Table3[[#This Row],[Order Time]]</f>
        <v>2.0833333333333259E-2</v>
      </c>
      <c r="L231" s="43">
        <v>30</v>
      </c>
      <c r="M231" s="10" t="s">
        <v>0</v>
      </c>
      <c r="N231" s="14"/>
      <c r="O231" s="14" t="s">
        <v>39</v>
      </c>
      <c r="P231" s="10" t="s">
        <v>20</v>
      </c>
      <c r="Q231" s="10"/>
    </row>
    <row r="232" spans="1:17" x14ac:dyDescent="0.25">
      <c r="A232" s="17">
        <f t="shared" si="12"/>
        <v>231</v>
      </c>
      <c r="B232" s="18">
        <v>42982</v>
      </c>
      <c r="C232" s="18" t="str">
        <f t="shared" si="13"/>
        <v>Monday</v>
      </c>
      <c r="D232" s="10" t="str">
        <f t="shared" si="14"/>
        <v>Same</v>
      </c>
      <c r="E232" s="11">
        <v>21.05</v>
      </c>
      <c r="F232" s="11">
        <v>5</v>
      </c>
      <c r="G232" s="12">
        <f t="shared" si="15"/>
        <v>0.23752969121140141</v>
      </c>
      <c r="H232" s="11">
        <v>1.5</v>
      </c>
      <c r="I232" s="13">
        <v>0.74236111111111114</v>
      </c>
      <c r="J232" s="13">
        <v>0.7680555555555556</v>
      </c>
      <c r="K232" s="44">
        <f>Table3[[#This Row],[Delivery Time]]-Table3[[#This Row],[Order Time]]</f>
        <v>2.5694444444444464E-2</v>
      </c>
      <c r="L232" s="43">
        <v>37</v>
      </c>
      <c r="M232" s="10" t="s">
        <v>12</v>
      </c>
      <c r="N232" s="14"/>
      <c r="O232" s="14" t="s">
        <v>39</v>
      </c>
      <c r="P232" s="10" t="s">
        <v>20</v>
      </c>
      <c r="Q232" s="10"/>
    </row>
    <row r="233" spans="1:17" x14ac:dyDescent="0.25">
      <c r="A233" s="17">
        <f t="shared" si="12"/>
        <v>232</v>
      </c>
      <c r="B233" s="18">
        <v>42982</v>
      </c>
      <c r="C233" s="18" t="str">
        <f t="shared" si="13"/>
        <v>Monday</v>
      </c>
      <c r="D233" s="10" t="str">
        <f t="shared" si="14"/>
        <v>Same</v>
      </c>
      <c r="E233" s="11">
        <v>19.7</v>
      </c>
      <c r="F233" s="11">
        <v>1.3</v>
      </c>
      <c r="G233" s="12">
        <f t="shared" si="15"/>
        <v>6.5989847715736044E-2</v>
      </c>
      <c r="H233" s="11">
        <v>1.5</v>
      </c>
      <c r="I233" s="13">
        <v>0.75138888888888899</v>
      </c>
      <c r="J233" s="13">
        <v>0.78402777777777777</v>
      </c>
      <c r="K233" s="44">
        <f>Table3[[#This Row],[Delivery Time]]-Table3[[#This Row],[Order Time]]</f>
        <v>3.2638888888888773E-2</v>
      </c>
      <c r="L233" s="43">
        <v>47.000000000000007</v>
      </c>
      <c r="M233" s="10" t="s">
        <v>0</v>
      </c>
      <c r="N233" s="14"/>
      <c r="O233" s="14" t="s">
        <v>39</v>
      </c>
      <c r="P233" s="10" t="s">
        <v>20</v>
      </c>
      <c r="Q233" s="10"/>
    </row>
    <row r="234" spans="1:17" x14ac:dyDescent="0.25">
      <c r="A234" s="17">
        <f t="shared" si="12"/>
        <v>233</v>
      </c>
      <c r="B234" s="18">
        <v>42982</v>
      </c>
      <c r="C234" s="18" t="str">
        <f t="shared" si="13"/>
        <v>Monday</v>
      </c>
      <c r="D234" s="10" t="str">
        <f t="shared" si="14"/>
        <v>Same</v>
      </c>
      <c r="E234" s="11">
        <v>88.17</v>
      </c>
      <c r="F234" s="11">
        <v>13</v>
      </c>
      <c r="G234" s="12">
        <f t="shared" si="15"/>
        <v>0.14744244073948054</v>
      </c>
      <c r="H234" s="11">
        <v>5</v>
      </c>
      <c r="I234" s="13">
        <v>0.74375000000000002</v>
      </c>
      <c r="J234" s="13">
        <v>0.79375000000000007</v>
      </c>
      <c r="K234" s="44">
        <f>Table3[[#This Row],[Delivery Time]]-Table3[[#This Row],[Order Time]]</f>
        <v>5.0000000000000044E-2</v>
      </c>
      <c r="L234" s="43">
        <v>72</v>
      </c>
      <c r="M234" s="10" t="s">
        <v>0</v>
      </c>
      <c r="N234" s="14"/>
      <c r="O234" s="14" t="s">
        <v>39</v>
      </c>
      <c r="P234" s="10" t="s">
        <v>20</v>
      </c>
      <c r="Q234" s="10"/>
    </row>
    <row r="235" spans="1:17" x14ac:dyDescent="0.25">
      <c r="A235" s="17">
        <f t="shared" si="12"/>
        <v>234</v>
      </c>
      <c r="B235" s="18">
        <v>42982</v>
      </c>
      <c r="C235" s="18" t="str">
        <f t="shared" si="13"/>
        <v>Monday</v>
      </c>
      <c r="D235" s="10" t="str">
        <f t="shared" si="14"/>
        <v>Same</v>
      </c>
      <c r="E235" s="11">
        <v>48.66</v>
      </c>
      <c r="F235" s="11">
        <v>5</v>
      </c>
      <c r="G235" s="12">
        <f t="shared" si="15"/>
        <v>0.10275380189066996</v>
      </c>
      <c r="H235" s="11">
        <v>5</v>
      </c>
      <c r="I235" s="13">
        <v>0.76736111111111116</v>
      </c>
      <c r="J235" s="13">
        <v>0.79791666666666661</v>
      </c>
      <c r="K235" s="44">
        <f>Table3[[#This Row],[Delivery Time]]-Table3[[#This Row],[Order Time]]</f>
        <v>3.0555555555555447E-2</v>
      </c>
      <c r="L235" s="43">
        <v>44</v>
      </c>
      <c r="M235" s="10" t="s">
        <v>0</v>
      </c>
      <c r="N235" s="14"/>
      <c r="O235" s="14" t="s">
        <v>39</v>
      </c>
      <c r="P235" s="10" t="s">
        <v>20</v>
      </c>
      <c r="Q235" s="10"/>
    </row>
    <row r="236" spans="1:17" x14ac:dyDescent="0.25">
      <c r="A236" s="17">
        <f t="shared" si="12"/>
        <v>235</v>
      </c>
      <c r="B236" s="18">
        <v>42982</v>
      </c>
      <c r="C236" s="18" t="str">
        <f t="shared" si="13"/>
        <v>Monday</v>
      </c>
      <c r="D236" s="10" t="str">
        <f t="shared" si="14"/>
        <v>Same</v>
      </c>
      <c r="E236" s="11">
        <v>79.239999999999995</v>
      </c>
      <c r="F236" s="11">
        <v>3</v>
      </c>
      <c r="G236" s="12">
        <f t="shared" si="15"/>
        <v>3.7859666834931853E-2</v>
      </c>
      <c r="H236" s="11">
        <v>1.5</v>
      </c>
      <c r="I236" s="13">
        <v>0.7909722222222223</v>
      </c>
      <c r="J236" s="13">
        <v>0.81944444444444453</v>
      </c>
      <c r="K236" s="44">
        <f>Table3[[#This Row],[Delivery Time]]-Table3[[#This Row],[Order Time]]</f>
        <v>2.8472222222222232E-2</v>
      </c>
      <c r="L236" s="43">
        <v>41</v>
      </c>
      <c r="M236" s="10" t="s">
        <v>11</v>
      </c>
      <c r="N236" s="14"/>
      <c r="O236" s="14" t="s">
        <v>39</v>
      </c>
      <c r="P236" s="10" t="s">
        <v>20</v>
      </c>
      <c r="Q236" s="10"/>
    </row>
    <row r="237" spans="1:17" x14ac:dyDescent="0.25">
      <c r="A237" s="17">
        <f t="shared" si="12"/>
        <v>236</v>
      </c>
      <c r="B237" s="18">
        <v>42982</v>
      </c>
      <c r="C237" s="18" t="str">
        <f t="shared" si="13"/>
        <v>Monday</v>
      </c>
      <c r="D237" s="10" t="str">
        <f t="shared" si="14"/>
        <v>Same</v>
      </c>
      <c r="E237" s="11">
        <v>22.41</v>
      </c>
      <c r="F237" s="11">
        <v>5</v>
      </c>
      <c r="G237" s="12">
        <f t="shared" si="15"/>
        <v>0.22311468094600626</v>
      </c>
      <c r="H237" s="11">
        <v>1.5</v>
      </c>
      <c r="I237" s="13">
        <v>0.80555555555555547</v>
      </c>
      <c r="J237" s="13">
        <v>0.82638888888888884</v>
      </c>
      <c r="K237" s="44">
        <f>Table3[[#This Row],[Delivery Time]]-Table3[[#This Row],[Order Time]]</f>
        <v>2.083333333333337E-2</v>
      </c>
      <c r="L237" s="43">
        <v>30</v>
      </c>
      <c r="M237" s="10" t="s">
        <v>12</v>
      </c>
      <c r="N237" s="14"/>
      <c r="O237" s="14" t="s">
        <v>41</v>
      </c>
      <c r="P237" s="10" t="s">
        <v>20</v>
      </c>
      <c r="Q237" s="10"/>
    </row>
    <row r="238" spans="1:17" x14ac:dyDescent="0.25">
      <c r="A238" s="17">
        <f t="shared" si="12"/>
        <v>237</v>
      </c>
      <c r="B238" s="18">
        <v>42982</v>
      </c>
      <c r="C238" s="18" t="str">
        <f t="shared" si="13"/>
        <v>Monday</v>
      </c>
      <c r="D238" s="10" t="str">
        <f t="shared" si="14"/>
        <v>Same</v>
      </c>
      <c r="E238" s="11">
        <v>21.92</v>
      </c>
      <c r="F238" s="11">
        <v>2</v>
      </c>
      <c r="G238" s="12">
        <f t="shared" si="15"/>
        <v>9.1240875912408759E-2</v>
      </c>
      <c r="H238" s="11">
        <v>1.5</v>
      </c>
      <c r="I238" s="13">
        <v>0.84305555555555556</v>
      </c>
      <c r="J238" s="13">
        <v>0.8666666666666667</v>
      </c>
      <c r="K238" s="44">
        <f>Table3[[#This Row],[Delivery Time]]-Table3[[#This Row],[Order Time]]</f>
        <v>2.3611111111111138E-2</v>
      </c>
      <c r="L238" s="43">
        <v>34</v>
      </c>
      <c r="M238" s="10" t="s">
        <v>11</v>
      </c>
      <c r="N238" s="14"/>
      <c r="O238" s="14" t="s">
        <v>41</v>
      </c>
      <c r="P238" s="10" t="s">
        <v>20</v>
      </c>
      <c r="Q238" s="10"/>
    </row>
    <row r="239" spans="1:17" x14ac:dyDescent="0.25">
      <c r="A239" s="17">
        <f t="shared" si="12"/>
        <v>238</v>
      </c>
      <c r="B239" s="18">
        <v>42982</v>
      </c>
      <c r="C239" s="18" t="str">
        <f t="shared" si="13"/>
        <v>Monday</v>
      </c>
      <c r="D239" s="10" t="str">
        <f t="shared" si="14"/>
        <v>Same</v>
      </c>
      <c r="E239" s="11">
        <v>21.38</v>
      </c>
      <c r="F239" s="11">
        <v>18.62</v>
      </c>
      <c r="G239" s="12">
        <f t="shared" si="15"/>
        <v>0.87090739008419094</v>
      </c>
      <c r="H239" s="11">
        <v>1.5</v>
      </c>
      <c r="I239" s="13">
        <v>0.87291666666666667</v>
      </c>
      <c r="J239" s="13">
        <v>0.88680555555555562</v>
      </c>
      <c r="K239" s="44">
        <f>Table3[[#This Row],[Delivery Time]]-Table3[[#This Row],[Order Time]]</f>
        <v>1.3888888888888951E-2</v>
      </c>
      <c r="L239" s="43">
        <v>20</v>
      </c>
      <c r="M239" s="10" t="s">
        <v>0</v>
      </c>
      <c r="N239" s="14"/>
      <c r="O239" s="14" t="s">
        <v>39</v>
      </c>
      <c r="P239" s="10" t="s">
        <v>20</v>
      </c>
      <c r="Q239" s="10"/>
    </row>
    <row r="240" spans="1:17" x14ac:dyDescent="0.25">
      <c r="A240" s="17">
        <f t="shared" si="12"/>
        <v>239</v>
      </c>
      <c r="B240" s="18">
        <v>42988</v>
      </c>
      <c r="C240" s="18" t="str">
        <f t="shared" si="13"/>
        <v>Sunday</v>
      </c>
      <c r="D240" s="10" t="str">
        <f t="shared" si="14"/>
        <v>Different</v>
      </c>
      <c r="E240" s="11">
        <v>26.2</v>
      </c>
      <c r="F240" s="11">
        <v>15.8</v>
      </c>
      <c r="G240" s="12">
        <f t="shared" si="15"/>
        <v>0.60305343511450382</v>
      </c>
      <c r="H240" s="11">
        <v>5</v>
      </c>
      <c r="I240" s="13">
        <v>0.71527777777777779</v>
      </c>
      <c r="J240" s="13">
        <v>0.73472222222222217</v>
      </c>
      <c r="K240" s="44">
        <f>Table3[[#This Row],[Delivery Time]]-Table3[[#This Row],[Order Time]]</f>
        <v>1.9444444444444375E-2</v>
      </c>
      <c r="L240" s="43">
        <v>28</v>
      </c>
      <c r="M240" s="10" t="s">
        <v>0</v>
      </c>
      <c r="N240" s="14"/>
      <c r="O240" s="14" t="s">
        <v>39</v>
      </c>
      <c r="P240" s="10" t="s">
        <v>20</v>
      </c>
      <c r="Q240" s="10"/>
    </row>
    <row r="241" spans="1:17" x14ac:dyDescent="0.25">
      <c r="A241" s="17">
        <f t="shared" si="12"/>
        <v>240</v>
      </c>
      <c r="B241" s="18">
        <v>42988</v>
      </c>
      <c r="C241" s="18" t="str">
        <f t="shared" si="13"/>
        <v>Sunday</v>
      </c>
      <c r="D241" s="10" t="str">
        <f t="shared" si="14"/>
        <v>Same</v>
      </c>
      <c r="E241" s="11">
        <v>36.43</v>
      </c>
      <c r="F241" s="11">
        <v>5</v>
      </c>
      <c r="G241" s="12">
        <f t="shared" si="15"/>
        <v>0.1372495196266813</v>
      </c>
      <c r="H241" s="11">
        <v>1.5</v>
      </c>
      <c r="I241" s="13">
        <v>0.71666666666666667</v>
      </c>
      <c r="J241" s="13">
        <v>0.74236111111111114</v>
      </c>
      <c r="K241" s="44">
        <f>Table3[[#This Row],[Delivery Time]]-Table3[[#This Row],[Order Time]]</f>
        <v>2.5694444444444464E-2</v>
      </c>
      <c r="L241" s="43">
        <v>37</v>
      </c>
      <c r="M241" s="10" t="s">
        <v>0</v>
      </c>
      <c r="N241" s="14"/>
      <c r="O241" s="14" t="s">
        <v>39</v>
      </c>
      <c r="P241" s="10" t="s">
        <v>20</v>
      </c>
      <c r="Q241" s="10"/>
    </row>
    <row r="242" spans="1:17" x14ac:dyDescent="0.25">
      <c r="A242" s="17">
        <f t="shared" si="12"/>
        <v>241</v>
      </c>
      <c r="B242" s="18">
        <v>42988</v>
      </c>
      <c r="C242" s="18" t="str">
        <f t="shared" si="13"/>
        <v>Sunday</v>
      </c>
      <c r="D242" s="10" t="str">
        <f t="shared" si="14"/>
        <v>Same</v>
      </c>
      <c r="E242" s="11">
        <v>23.24</v>
      </c>
      <c r="F242" s="11">
        <v>3</v>
      </c>
      <c r="G242" s="12">
        <f t="shared" si="15"/>
        <v>0.12908777969018934</v>
      </c>
      <c r="H242" s="11">
        <v>1.5</v>
      </c>
      <c r="I242" s="13">
        <v>0.71666666666666667</v>
      </c>
      <c r="J242" s="13">
        <v>0.75</v>
      </c>
      <c r="K242" s="44">
        <f>Table3[[#This Row],[Delivery Time]]-Table3[[#This Row],[Order Time]]</f>
        <v>3.3333333333333326E-2</v>
      </c>
      <c r="L242" s="43">
        <v>48</v>
      </c>
      <c r="M242" s="10" t="s">
        <v>11</v>
      </c>
      <c r="N242" s="14"/>
      <c r="O242" s="14" t="s">
        <v>39</v>
      </c>
      <c r="P242" s="10" t="s">
        <v>20</v>
      </c>
      <c r="Q242" s="10"/>
    </row>
    <row r="243" spans="1:17" x14ac:dyDescent="0.25">
      <c r="A243" s="17">
        <f t="shared" si="12"/>
        <v>242</v>
      </c>
      <c r="B243" s="18">
        <v>42988</v>
      </c>
      <c r="C243" s="18" t="str">
        <f t="shared" si="13"/>
        <v>Sunday</v>
      </c>
      <c r="D243" s="10" t="str">
        <f t="shared" si="14"/>
        <v>Same</v>
      </c>
      <c r="E243" s="11">
        <v>49.25</v>
      </c>
      <c r="F243" s="11">
        <v>10.75</v>
      </c>
      <c r="G243" s="12">
        <f t="shared" si="15"/>
        <v>0.21827411167512689</v>
      </c>
      <c r="H243" s="11">
        <v>1.5</v>
      </c>
      <c r="I243" s="13">
        <v>0.76597222222222217</v>
      </c>
      <c r="J243" s="13">
        <v>0.78888888888888886</v>
      </c>
      <c r="K243" s="44">
        <f>Table3[[#This Row],[Delivery Time]]-Table3[[#This Row],[Order Time]]</f>
        <v>2.2916666666666696E-2</v>
      </c>
      <c r="L243" s="43">
        <v>33</v>
      </c>
      <c r="M243" s="10" t="s">
        <v>0</v>
      </c>
      <c r="N243" s="14"/>
      <c r="O243" s="14" t="s">
        <v>39</v>
      </c>
      <c r="P243" s="10" t="s">
        <v>20</v>
      </c>
      <c r="Q243" s="10"/>
    </row>
    <row r="244" spans="1:17" x14ac:dyDescent="0.25">
      <c r="A244" s="17">
        <f t="shared" si="12"/>
        <v>243</v>
      </c>
      <c r="B244" s="18">
        <v>42988</v>
      </c>
      <c r="C244" s="18" t="str">
        <f t="shared" si="13"/>
        <v>Sunday</v>
      </c>
      <c r="D244" s="10" t="str">
        <f t="shared" si="14"/>
        <v>Same</v>
      </c>
      <c r="E244" s="11">
        <v>21.33</v>
      </c>
      <c r="F244" s="11">
        <v>3.67</v>
      </c>
      <c r="G244" s="12">
        <f t="shared" si="15"/>
        <v>0.17205813408345055</v>
      </c>
      <c r="H244" s="11">
        <v>1.5</v>
      </c>
      <c r="I244" s="13">
        <v>0.77013888888888893</v>
      </c>
      <c r="J244" s="13">
        <v>0.79722222222222217</v>
      </c>
      <c r="K244" s="44">
        <f>Table3[[#This Row],[Delivery Time]]-Table3[[#This Row],[Order Time]]</f>
        <v>2.7083333333333237E-2</v>
      </c>
      <c r="L244" s="43">
        <v>39</v>
      </c>
      <c r="M244" s="10" t="s">
        <v>0</v>
      </c>
      <c r="N244" s="14"/>
      <c r="O244" s="14" t="s">
        <v>39</v>
      </c>
      <c r="P244" s="10" t="s">
        <v>20</v>
      </c>
      <c r="Q244" s="10"/>
    </row>
    <row r="245" spans="1:17" x14ac:dyDescent="0.25">
      <c r="A245" s="17">
        <f t="shared" si="12"/>
        <v>244</v>
      </c>
      <c r="B245" s="18">
        <v>42988</v>
      </c>
      <c r="C245" s="18" t="str">
        <f t="shared" si="13"/>
        <v>Sunday</v>
      </c>
      <c r="D245" s="10" t="str">
        <f t="shared" si="14"/>
        <v>Same</v>
      </c>
      <c r="E245" s="11">
        <v>28.09</v>
      </c>
      <c r="F245" s="11">
        <v>5</v>
      </c>
      <c r="G245" s="12">
        <f t="shared" si="15"/>
        <v>0.17799928800284798</v>
      </c>
      <c r="H245" s="11">
        <v>1.5</v>
      </c>
      <c r="I245" s="13">
        <v>0.77569444444444446</v>
      </c>
      <c r="J245" s="13">
        <v>0.81180555555555556</v>
      </c>
      <c r="K245" s="44">
        <f>Table3[[#This Row],[Delivery Time]]-Table3[[#This Row],[Order Time]]</f>
        <v>3.6111111111111094E-2</v>
      </c>
      <c r="L245" s="43">
        <v>52</v>
      </c>
      <c r="M245" s="10" t="s">
        <v>0</v>
      </c>
      <c r="N245" s="14"/>
      <c r="O245" s="14" t="s">
        <v>39</v>
      </c>
      <c r="P245" s="10" t="s">
        <v>20</v>
      </c>
      <c r="Q245" s="10"/>
    </row>
    <row r="246" spans="1:17" x14ac:dyDescent="0.25">
      <c r="A246" s="17">
        <f t="shared" si="12"/>
        <v>245</v>
      </c>
      <c r="B246" s="18">
        <v>42988</v>
      </c>
      <c r="C246" s="18" t="str">
        <f t="shared" si="13"/>
        <v>Sunday</v>
      </c>
      <c r="D246" s="10" t="str">
        <f t="shared" si="14"/>
        <v>Same</v>
      </c>
      <c r="E246" s="11">
        <v>20.57</v>
      </c>
      <c r="F246" s="11">
        <v>5</v>
      </c>
      <c r="G246" s="12">
        <f t="shared" si="15"/>
        <v>0.24307243558580457</v>
      </c>
      <c r="H246" s="11">
        <v>1.5</v>
      </c>
      <c r="I246" s="13">
        <v>0.81736111111111109</v>
      </c>
      <c r="J246" s="13">
        <v>0.84652777777777777</v>
      </c>
      <c r="K246" s="44">
        <f>Table3[[#This Row],[Delivery Time]]-Table3[[#This Row],[Order Time]]</f>
        <v>2.9166666666666674E-2</v>
      </c>
      <c r="L246" s="43">
        <v>42</v>
      </c>
      <c r="M246" s="10" t="s">
        <v>0</v>
      </c>
      <c r="N246" s="14"/>
      <c r="O246" s="14" t="s">
        <v>39</v>
      </c>
      <c r="P246" s="10" t="s">
        <v>20</v>
      </c>
      <c r="Q246" s="10"/>
    </row>
    <row r="247" spans="1:17" x14ac:dyDescent="0.25">
      <c r="A247" s="17">
        <f t="shared" si="12"/>
        <v>246</v>
      </c>
      <c r="B247" s="18">
        <v>42988</v>
      </c>
      <c r="C247" s="18" t="str">
        <f t="shared" si="13"/>
        <v>Sunday</v>
      </c>
      <c r="D247" s="10" t="str">
        <f t="shared" si="14"/>
        <v>Same</v>
      </c>
      <c r="E247" s="11">
        <v>19.7</v>
      </c>
      <c r="F247" s="11">
        <v>2</v>
      </c>
      <c r="G247" s="12">
        <f t="shared" si="15"/>
        <v>0.10152284263959391</v>
      </c>
      <c r="H247" s="11">
        <v>1.5</v>
      </c>
      <c r="I247" s="13">
        <v>0.83888888888888891</v>
      </c>
      <c r="J247" s="13">
        <v>0.85625000000000007</v>
      </c>
      <c r="K247" s="44">
        <f>Table3[[#This Row],[Delivery Time]]-Table3[[#This Row],[Order Time]]</f>
        <v>1.736111111111116E-2</v>
      </c>
      <c r="L247" s="43">
        <v>25</v>
      </c>
      <c r="M247" s="10" t="s">
        <v>0</v>
      </c>
      <c r="N247" s="14" t="s">
        <v>24</v>
      </c>
      <c r="O247" s="14" t="s">
        <v>39</v>
      </c>
      <c r="P247" s="10" t="s">
        <v>20</v>
      </c>
      <c r="Q247" s="10"/>
    </row>
    <row r="248" spans="1:17" x14ac:dyDescent="0.25">
      <c r="A248" s="17">
        <f t="shared" si="12"/>
        <v>247</v>
      </c>
      <c r="B248" s="18">
        <v>42988</v>
      </c>
      <c r="C248" s="18" t="str">
        <f t="shared" si="13"/>
        <v>Sunday</v>
      </c>
      <c r="D248" s="10" t="str">
        <f t="shared" si="14"/>
        <v>Same</v>
      </c>
      <c r="E248" s="11">
        <v>53.8</v>
      </c>
      <c r="F248" s="11">
        <v>10</v>
      </c>
      <c r="G248" s="12">
        <f t="shared" si="15"/>
        <v>0.18587360594795541</v>
      </c>
      <c r="H248" s="11">
        <v>1.5</v>
      </c>
      <c r="I248" s="13">
        <v>0.84861111111111109</v>
      </c>
      <c r="J248" s="13">
        <v>0.87847222222222221</v>
      </c>
      <c r="K248" s="44">
        <f>Table3[[#This Row],[Delivery Time]]-Table3[[#This Row],[Order Time]]</f>
        <v>2.9861111111111116E-2</v>
      </c>
      <c r="L248" s="43">
        <v>43</v>
      </c>
      <c r="M248" s="10" t="s">
        <v>11</v>
      </c>
      <c r="N248" s="14"/>
      <c r="O248" s="14" t="s">
        <v>39</v>
      </c>
      <c r="P248" s="10" t="s">
        <v>20</v>
      </c>
      <c r="Q248" s="10"/>
    </row>
    <row r="249" spans="1:17" x14ac:dyDescent="0.25">
      <c r="A249" s="17">
        <f t="shared" si="12"/>
        <v>248</v>
      </c>
      <c r="B249" s="18">
        <v>42988</v>
      </c>
      <c r="C249" s="18" t="str">
        <f t="shared" si="13"/>
        <v>Sunday</v>
      </c>
      <c r="D249" s="10" t="str">
        <f t="shared" si="14"/>
        <v>Same</v>
      </c>
      <c r="E249" s="11">
        <v>19.7</v>
      </c>
      <c r="F249" s="11">
        <v>3</v>
      </c>
      <c r="G249" s="12">
        <f t="shared" si="15"/>
        <v>0.15228426395939088</v>
      </c>
      <c r="H249" s="11">
        <v>1.5</v>
      </c>
      <c r="I249" s="13">
        <v>0.85069444444444453</v>
      </c>
      <c r="J249" s="13">
        <v>0.88402777777777775</v>
      </c>
      <c r="K249" s="44">
        <f>Table3[[#This Row],[Delivery Time]]-Table3[[#This Row],[Order Time]]</f>
        <v>3.3333333333333215E-2</v>
      </c>
      <c r="L249" s="43">
        <v>48</v>
      </c>
      <c r="M249" s="10" t="s">
        <v>11</v>
      </c>
      <c r="N249" s="14"/>
      <c r="O249" s="14" t="s">
        <v>39</v>
      </c>
      <c r="P249" s="10" t="s">
        <v>20</v>
      </c>
      <c r="Q249" s="10"/>
    </row>
    <row r="250" spans="1:17" x14ac:dyDescent="0.25">
      <c r="A250" s="17">
        <f t="shared" si="12"/>
        <v>249</v>
      </c>
      <c r="B250" s="18">
        <v>42993</v>
      </c>
      <c r="C250" s="18" t="str">
        <f t="shared" si="13"/>
        <v>Friday</v>
      </c>
      <c r="D250" s="10" t="str">
        <f t="shared" si="14"/>
        <v>Different</v>
      </c>
      <c r="E250" s="11">
        <v>44.82</v>
      </c>
      <c r="F250" s="11">
        <v>8</v>
      </c>
      <c r="G250" s="12">
        <f t="shared" si="15"/>
        <v>0.17849174475680499</v>
      </c>
      <c r="H250" s="11">
        <v>5</v>
      </c>
      <c r="I250" s="13">
        <v>0.6743055555555556</v>
      </c>
      <c r="J250" s="13">
        <v>0.70833333333333337</v>
      </c>
      <c r="K250" s="44">
        <f>Table3[[#This Row],[Delivery Time]]-Table3[[#This Row],[Order Time]]</f>
        <v>3.4027777777777768E-2</v>
      </c>
      <c r="L250" s="43">
        <v>49</v>
      </c>
      <c r="M250" s="10" t="s">
        <v>0</v>
      </c>
      <c r="N250" s="14"/>
      <c r="O250" s="14" t="s">
        <v>39</v>
      </c>
      <c r="P250" s="10" t="s">
        <v>20</v>
      </c>
      <c r="Q250" s="10"/>
    </row>
    <row r="251" spans="1:17" x14ac:dyDescent="0.25">
      <c r="A251" s="17">
        <f t="shared" si="12"/>
        <v>250</v>
      </c>
      <c r="B251" s="18">
        <v>42993</v>
      </c>
      <c r="C251" s="18" t="str">
        <f t="shared" si="13"/>
        <v>Friday</v>
      </c>
      <c r="D251" s="10" t="str">
        <f t="shared" si="14"/>
        <v>Same</v>
      </c>
      <c r="E251" s="11">
        <v>47.79</v>
      </c>
      <c r="F251" s="11">
        <v>10</v>
      </c>
      <c r="G251" s="12">
        <f t="shared" si="15"/>
        <v>0.2092487968194183</v>
      </c>
      <c r="H251" s="11">
        <v>1.5</v>
      </c>
      <c r="I251" s="13">
        <v>0.73125000000000007</v>
      </c>
      <c r="J251" s="13">
        <v>0.75486111111111109</v>
      </c>
      <c r="K251" s="44">
        <f>Table3[[#This Row],[Delivery Time]]-Table3[[#This Row],[Order Time]]</f>
        <v>2.3611111111111027E-2</v>
      </c>
      <c r="L251" s="43">
        <v>34</v>
      </c>
      <c r="M251" s="10" t="s">
        <v>11</v>
      </c>
      <c r="N251" s="14"/>
      <c r="O251" s="14" t="s">
        <v>39</v>
      </c>
      <c r="P251" s="10" t="s">
        <v>20</v>
      </c>
      <c r="Q251" s="10"/>
    </row>
    <row r="252" spans="1:17" x14ac:dyDescent="0.25">
      <c r="A252" s="17">
        <f t="shared" si="12"/>
        <v>251</v>
      </c>
      <c r="B252" s="18">
        <v>42993</v>
      </c>
      <c r="C252" s="18" t="str">
        <f t="shared" si="13"/>
        <v>Friday</v>
      </c>
      <c r="D252" s="10" t="str">
        <f t="shared" si="14"/>
        <v>Same</v>
      </c>
      <c r="E252" s="11">
        <v>75.88</v>
      </c>
      <c r="F252" s="11">
        <v>15</v>
      </c>
      <c r="G252" s="12">
        <f t="shared" si="15"/>
        <v>0.19768054823405379</v>
      </c>
      <c r="H252" s="11">
        <v>1.5</v>
      </c>
      <c r="I252" s="13">
        <v>0.80208333333333337</v>
      </c>
      <c r="J252" s="13">
        <v>0.80208333333333337</v>
      </c>
      <c r="K252" s="44">
        <f>Table3[[#This Row],[Delivery Time]]-Table3[[#This Row],[Order Time]]</f>
        <v>0</v>
      </c>
      <c r="L252" s="43">
        <v>0</v>
      </c>
      <c r="M252" s="10" t="s">
        <v>0</v>
      </c>
      <c r="N252" s="14"/>
      <c r="O252" s="14" t="s">
        <v>39</v>
      </c>
      <c r="P252" s="10" t="s">
        <v>16</v>
      </c>
      <c r="Q252" s="10"/>
    </row>
    <row r="253" spans="1:17" x14ac:dyDescent="0.25">
      <c r="A253" s="17">
        <f t="shared" si="12"/>
        <v>252</v>
      </c>
      <c r="B253" s="18">
        <v>42993</v>
      </c>
      <c r="C253" s="18" t="str">
        <f t="shared" si="13"/>
        <v>Friday</v>
      </c>
      <c r="D253" s="10" t="str">
        <f t="shared" si="14"/>
        <v>Same</v>
      </c>
      <c r="E253" s="11">
        <v>63.54</v>
      </c>
      <c r="F253" s="11">
        <v>12</v>
      </c>
      <c r="G253" s="12">
        <f t="shared" si="15"/>
        <v>0.18885741265344666</v>
      </c>
      <c r="H253" s="11">
        <v>7</v>
      </c>
      <c r="I253" s="13">
        <v>0.77708333333333324</v>
      </c>
      <c r="J253" s="13">
        <v>0.81111111111111101</v>
      </c>
      <c r="K253" s="44">
        <f>Table3[[#This Row],[Delivery Time]]-Table3[[#This Row],[Order Time]]</f>
        <v>3.4027777777777768E-2</v>
      </c>
      <c r="L253" s="43">
        <v>49</v>
      </c>
      <c r="M253" s="10" t="s">
        <v>0</v>
      </c>
      <c r="N253" s="14"/>
      <c r="O253" s="14" t="s">
        <v>39</v>
      </c>
      <c r="P253" s="10" t="s">
        <v>20</v>
      </c>
      <c r="Q253" s="10"/>
    </row>
    <row r="254" spans="1:17" x14ac:dyDescent="0.25">
      <c r="A254" s="17">
        <f t="shared" si="12"/>
        <v>253</v>
      </c>
      <c r="B254" s="18">
        <v>42993</v>
      </c>
      <c r="C254" s="18" t="str">
        <f t="shared" si="13"/>
        <v>Friday</v>
      </c>
      <c r="D254" s="10" t="str">
        <f t="shared" si="14"/>
        <v>Same</v>
      </c>
      <c r="E254" s="11">
        <v>34.86</v>
      </c>
      <c r="F254" s="11">
        <v>3</v>
      </c>
      <c r="G254" s="12">
        <f t="shared" si="15"/>
        <v>8.6058519793459548E-2</v>
      </c>
      <c r="H254" s="11">
        <v>1.5</v>
      </c>
      <c r="I254" s="13">
        <v>0.81944444444444453</v>
      </c>
      <c r="J254" s="13">
        <v>0.83958333333333324</v>
      </c>
      <c r="K254" s="44">
        <f>Table3[[#This Row],[Delivery Time]]-Table3[[#This Row],[Order Time]]</f>
        <v>2.0138888888888706E-2</v>
      </c>
      <c r="L254" s="43">
        <v>29.000000000000004</v>
      </c>
      <c r="M254" s="10" t="s">
        <v>0</v>
      </c>
      <c r="N254" s="14"/>
      <c r="O254" s="14" t="s">
        <v>39</v>
      </c>
      <c r="P254" s="10" t="s">
        <v>20</v>
      </c>
      <c r="Q254" s="10"/>
    </row>
    <row r="255" spans="1:17" x14ac:dyDescent="0.25">
      <c r="A255" s="17">
        <f t="shared" si="12"/>
        <v>254</v>
      </c>
      <c r="B255" s="18">
        <v>42993</v>
      </c>
      <c r="C255" s="18" t="str">
        <f t="shared" si="13"/>
        <v>Friday</v>
      </c>
      <c r="D255" s="10" t="str">
        <f t="shared" si="14"/>
        <v>Same</v>
      </c>
      <c r="E255" s="11">
        <v>20.239999999999998</v>
      </c>
      <c r="F255" s="11">
        <v>4.76</v>
      </c>
      <c r="G255" s="12">
        <f t="shared" si="15"/>
        <v>0.23517786561264822</v>
      </c>
      <c r="H255" s="11">
        <v>1.5</v>
      </c>
      <c r="I255" s="13">
        <v>0.8256944444444444</v>
      </c>
      <c r="J255" s="13">
        <v>0.84930555555555554</v>
      </c>
      <c r="K255" s="44">
        <f>Table3[[#This Row],[Delivery Time]]-Table3[[#This Row],[Order Time]]</f>
        <v>2.3611111111111138E-2</v>
      </c>
      <c r="L255" s="43">
        <v>34</v>
      </c>
      <c r="M255" s="10" t="s">
        <v>0</v>
      </c>
      <c r="N255" s="14" t="s">
        <v>24</v>
      </c>
      <c r="O255" s="14" t="s">
        <v>39</v>
      </c>
      <c r="P255" s="10" t="s">
        <v>20</v>
      </c>
      <c r="Q255" s="10"/>
    </row>
    <row r="256" spans="1:17" x14ac:dyDescent="0.25">
      <c r="A256" s="17">
        <f t="shared" si="12"/>
        <v>255</v>
      </c>
      <c r="B256" s="18">
        <v>42993</v>
      </c>
      <c r="C256" s="18" t="str">
        <f t="shared" si="13"/>
        <v>Friday</v>
      </c>
      <c r="D256" s="10" t="str">
        <f t="shared" si="14"/>
        <v>Same</v>
      </c>
      <c r="E256" s="11">
        <v>19.16</v>
      </c>
      <c r="F256" s="11">
        <v>5</v>
      </c>
      <c r="G256" s="12">
        <f t="shared" si="15"/>
        <v>0.26096033402922758</v>
      </c>
      <c r="H256" s="11">
        <v>1.5</v>
      </c>
      <c r="I256" s="13">
        <v>0.875</v>
      </c>
      <c r="J256" s="13">
        <v>0.88958333333333339</v>
      </c>
      <c r="K256" s="44">
        <f>Table3[[#This Row],[Delivery Time]]-Table3[[#This Row],[Order Time]]</f>
        <v>1.4583333333333393E-2</v>
      </c>
      <c r="L256" s="43">
        <v>21</v>
      </c>
      <c r="M256" s="10" t="s">
        <v>11</v>
      </c>
      <c r="N256" s="14"/>
      <c r="O256" s="14" t="s">
        <v>39</v>
      </c>
      <c r="P256" s="10" t="s">
        <v>20</v>
      </c>
      <c r="Q256" s="10"/>
    </row>
    <row r="257" spans="1:17" x14ac:dyDescent="0.25">
      <c r="A257" s="17">
        <f t="shared" si="12"/>
        <v>256</v>
      </c>
      <c r="B257" s="18">
        <v>42994</v>
      </c>
      <c r="C257" s="18" t="str">
        <f t="shared" si="13"/>
        <v>Saturday</v>
      </c>
      <c r="D257" s="10" t="str">
        <f t="shared" si="14"/>
        <v>Different</v>
      </c>
      <c r="E257" s="11">
        <v>38.32</v>
      </c>
      <c r="F257" s="11">
        <v>6</v>
      </c>
      <c r="G257" s="12">
        <f t="shared" si="15"/>
        <v>0.15657620041753653</v>
      </c>
      <c r="H257" s="11">
        <v>1.5</v>
      </c>
      <c r="I257" s="13">
        <v>0.70347222222222217</v>
      </c>
      <c r="J257" s="13">
        <v>0.71597222222222223</v>
      </c>
      <c r="K257" s="44">
        <f>Table3[[#This Row],[Delivery Time]]-Table3[[#This Row],[Order Time]]</f>
        <v>1.2500000000000067E-2</v>
      </c>
      <c r="L257" s="43">
        <v>18</v>
      </c>
      <c r="M257" s="10" t="s">
        <v>11</v>
      </c>
      <c r="N257" s="14"/>
      <c r="O257" s="14" t="s">
        <v>40</v>
      </c>
      <c r="P257" s="10" t="s">
        <v>20</v>
      </c>
      <c r="Q257" s="10"/>
    </row>
    <row r="258" spans="1:17" x14ac:dyDescent="0.25">
      <c r="A258" s="17">
        <f t="shared" si="12"/>
        <v>257</v>
      </c>
      <c r="B258" s="18">
        <v>42994</v>
      </c>
      <c r="C258" s="18" t="str">
        <f t="shared" si="13"/>
        <v>Saturday</v>
      </c>
      <c r="D258" s="10" t="str">
        <f t="shared" si="14"/>
        <v>Same</v>
      </c>
      <c r="E258" s="11">
        <v>36.81</v>
      </c>
      <c r="F258" s="11">
        <v>8</v>
      </c>
      <c r="G258" s="12">
        <f t="shared" si="15"/>
        <v>0.21733224667209997</v>
      </c>
      <c r="H258" s="11">
        <v>1.5</v>
      </c>
      <c r="I258" s="13">
        <v>0.7402777777777777</v>
      </c>
      <c r="J258" s="13">
        <v>0.75902777777777775</v>
      </c>
      <c r="K258" s="44">
        <f>Table3[[#This Row],[Delivery Time]]-Table3[[#This Row],[Order Time]]</f>
        <v>1.8750000000000044E-2</v>
      </c>
      <c r="L258" s="43">
        <v>26.999999999999996</v>
      </c>
      <c r="M258" s="10" t="s">
        <v>12</v>
      </c>
      <c r="N258" s="14"/>
      <c r="O258" s="14" t="s">
        <v>39</v>
      </c>
      <c r="P258" s="10" t="s">
        <v>20</v>
      </c>
      <c r="Q258" s="10"/>
    </row>
    <row r="259" spans="1:17" x14ac:dyDescent="0.25">
      <c r="A259" s="17">
        <f t="shared" si="12"/>
        <v>258</v>
      </c>
      <c r="B259" s="18">
        <v>42994</v>
      </c>
      <c r="C259" s="18" t="str">
        <f t="shared" si="13"/>
        <v>Saturday</v>
      </c>
      <c r="D259" s="10" t="str">
        <f t="shared" si="14"/>
        <v>Same</v>
      </c>
      <c r="E259" s="11">
        <v>34.32</v>
      </c>
      <c r="F259" s="11">
        <v>5.68</v>
      </c>
      <c r="G259" s="12">
        <f t="shared" si="15"/>
        <v>0.1655011655011655</v>
      </c>
      <c r="H259" s="11">
        <v>1.5</v>
      </c>
      <c r="I259" s="13">
        <v>0.74513888888888891</v>
      </c>
      <c r="J259" s="13">
        <v>0.76597222222222217</v>
      </c>
      <c r="K259" s="44">
        <f>Table3[[#This Row],[Delivery Time]]-Table3[[#This Row],[Order Time]]</f>
        <v>2.0833333333333259E-2</v>
      </c>
      <c r="L259" s="43">
        <v>30</v>
      </c>
      <c r="M259" s="10" t="s">
        <v>11</v>
      </c>
      <c r="N259" s="14" t="s">
        <v>43</v>
      </c>
      <c r="O259" s="14" t="s">
        <v>39</v>
      </c>
      <c r="P259" s="10" t="s">
        <v>20</v>
      </c>
      <c r="Q259" s="10"/>
    </row>
    <row r="260" spans="1:17" x14ac:dyDescent="0.25">
      <c r="A260" s="17">
        <f t="shared" si="12"/>
        <v>259</v>
      </c>
      <c r="B260" s="18">
        <v>42994</v>
      </c>
      <c r="C260" s="18" t="str">
        <f t="shared" si="13"/>
        <v>Saturday</v>
      </c>
      <c r="D260" s="10" t="str">
        <f t="shared" si="14"/>
        <v>Same</v>
      </c>
      <c r="E260" s="11">
        <v>21.18</v>
      </c>
      <c r="F260" s="11">
        <v>8</v>
      </c>
      <c r="G260" s="12">
        <f t="shared" si="15"/>
        <v>0.37771482530689332</v>
      </c>
      <c r="H260" s="11">
        <v>1.5</v>
      </c>
      <c r="I260" s="13">
        <v>0.77013888888888893</v>
      </c>
      <c r="J260" s="13">
        <v>0.8041666666666667</v>
      </c>
      <c r="K260" s="44">
        <f>Table3[[#This Row],[Delivery Time]]-Table3[[#This Row],[Order Time]]</f>
        <v>3.4027777777777768E-2</v>
      </c>
      <c r="L260" s="43">
        <v>49</v>
      </c>
      <c r="M260" s="10" t="s">
        <v>0</v>
      </c>
      <c r="N260" s="14"/>
      <c r="O260" s="14" t="s">
        <v>39</v>
      </c>
      <c r="P260" s="10" t="s">
        <v>20</v>
      </c>
      <c r="Q260" s="10"/>
    </row>
    <row r="261" spans="1:17" x14ac:dyDescent="0.25">
      <c r="A261" s="17">
        <f t="shared" si="12"/>
        <v>260</v>
      </c>
      <c r="B261" s="18">
        <v>42994</v>
      </c>
      <c r="C261" s="18" t="str">
        <f t="shared" si="13"/>
        <v>Saturday</v>
      </c>
      <c r="D261" s="10" t="str">
        <f t="shared" si="14"/>
        <v>Same</v>
      </c>
      <c r="E261" s="11">
        <v>87.68</v>
      </c>
      <c r="F261" s="11">
        <v>20</v>
      </c>
      <c r="G261" s="12">
        <f t="shared" si="15"/>
        <v>0.22810218978102187</v>
      </c>
      <c r="H261" s="11">
        <v>1.5</v>
      </c>
      <c r="I261" s="13">
        <v>0.77500000000000002</v>
      </c>
      <c r="J261" s="13">
        <v>0.79236111111111107</v>
      </c>
      <c r="K261" s="44">
        <f>Table3[[#This Row],[Delivery Time]]-Table3[[#This Row],[Order Time]]</f>
        <v>1.7361111111111049E-2</v>
      </c>
      <c r="L261" s="43">
        <v>25</v>
      </c>
      <c r="M261" s="10" t="s">
        <v>0</v>
      </c>
      <c r="N261" s="14"/>
      <c r="O261" s="14" t="s">
        <v>40</v>
      </c>
      <c r="P261" s="10" t="s">
        <v>20</v>
      </c>
      <c r="Q261" s="10"/>
    </row>
    <row r="262" spans="1:17" x14ac:dyDescent="0.25">
      <c r="A262" s="17">
        <f t="shared" ref="A262:A325" si="16">ROW(A261)</f>
        <v>261</v>
      </c>
      <c r="B262" s="18">
        <v>42994</v>
      </c>
      <c r="C262" s="18" t="str">
        <f t="shared" ref="C262:C325" si="17">TEXT(B262,"dddd")</f>
        <v>Saturday</v>
      </c>
      <c r="D262" s="10" t="str">
        <f t="shared" ref="D262:D325" si="18">IF(B261=B262, "Same", "Different")</f>
        <v>Same</v>
      </c>
      <c r="E262" s="11">
        <v>50.5</v>
      </c>
      <c r="F262" s="11">
        <v>15</v>
      </c>
      <c r="G262" s="12">
        <f t="shared" ref="G262:G325" si="19">F262/E262</f>
        <v>0.29702970297029702</v>
      </c>
      <c r="H262" s="11">
        <v>1.5</v>
      </c>
      <c r="I262" s="13">
        <v>0.77847222222222223</v>
      </c>
      <c r="J262" s="13">
        <v>0.80763888888888891</v>
      </c>
      <c r="K262" s="44">
        <f>Table3[[#This Row],[Delivery Time]]-Table3[[#This Row],[Order Time]]</f>
        <v>2.9166666666666674E-2</v>
      </c>
      <c r="L262" s="43">
        <v>42</v>
      </c>
      <c r="M262" s="10" t="s">
        <v>0</v>
      </c>
      <c r="N262" s="14"/>
      <c r="O262" s="14" t="s">
        <v>39</v>
      </c>
      <c r="P262" s="10" t="s">
        <v>20</v>
      </c>
      <c r="Q262" s="10"/>
    </row>
    <row r="263" spans="1:17" x14ac:dyDescent="0.25">
      <c r="A263" s="17">
        <f t="shared" si="16"/>
        <v>262</v>
      </c>
      <c r="B263" s="18">
        <v>42994</v>
      </c>
      <c r="C263" s="18" t="str">
        <f t="shared" si="17"/>
        <v>Saturday</v>
      </c>
      <c r="D263" s="10" t="str">
        <f t="shared" si="18"/>
        <v>Same</v>
      </c>
      <c r="E263" s="11">
        <v>33.72</v>
      </c>
      <c r="F263" s="11">
        <v>6.28</v>
      </c>
      <c r="G263" s="12">
        <f t="shared" si="19"/>
        <v>0.18623962040332148</v>
      </c>
      <c r="H263" s="11">
        <v>1.5</v>
      </c>
      <c r="I263" s="13">
        <v>0.82430555555555562</v>
      </c>
      <c r="J263" s="13">
        <v>0.83958333333333324</v>
      </c>
      <c r="K263" s="44">
        <f>Table3[[#This Row],[Delivery Time]]-Table3[[#This Row],[Order Time]]</f>
        <v>1.5277777777777612E-2</v>
      </c>
      <c r="L263" s="43">
        <v>22</v>
      </c>
      <c r="M263" s="10" t="s">
        <v>0</v>
      </c>
      <c r="N263" s="14"/>
      <c r="O263" s="14" t="s">
        <v>39</v>
      </c>
      <c r="P263" s="10" t="s">
        <v>20</v>
      </c>
      <c r="Q263" s="10"/>
    </row>
    <row r="264" spans="1:17" x14ac:dyDescent="0.25">
      <c r="A264" s="17">
        <f t="shared" si="16"/>
        <v>263</v>
      </c>
      <c r="B264" s="18">
        <v>42994</v>
      </c>
      <c r="C264" s="18" t="str">
        <f t="shared" si="17"/>
        <v>Saturday</v>
      </c>
      <c r="D264" s="10" t="str">
        <f t="shared" si="18"/>
        <v>Same</v>
      </c>
      <c r="E264" s="11">
        <v>32.96</v>
      </c>
      <c r="F264" s="11">
        <v>7.04</v>
      </c>
      <c r="G264" s="12">
        <f t="shared" si="19"/>
        <v>0.21359223300970873</v>
      </c>
      <c r="H264" s="11">
        <v>1.5</v>
      </c>
      <c r="I264" s="13">
        <v>0.84444444444444444</v>
      </c>
      <c r="J264" s="13">
        <v>0.8652777777777777</v>
      </c>
      <c r="K264" s="44">
        <f>Table3[[#This Row],[Delivery Time]]-Table3[[#This Row],[Order Time]]</f>
        <v>2.0833333333333259E-2</v>
      </c>
      <c r="L264" s="43">
        <v>30</v>
      </c>
      <c r="M264" s="10" t="s">
        <v>12</v>
      </c>
      <c r="N264" s="14"/>
      <c r="O264" s="14" t="s">
        <v>41</v>
      </c>
      <c r="P264" s="10" t="s">
        <v>20</v>
      </c>
      <c r="Q264" s="10"/>
    </row>
    <row r="265" spans="1:17" x14ac:dyDescent="0.25">
      <c r="A265" s="17">
        <f t="shared" si="16"/>
        <v>264</v>
      </c>
      <c r="B265" s="18">
        <v>42994</v>
      </c>
      <c r="C265" s="18" t="str">
        <f t="shared" si="17"/>
        <v>Saturday</v>
      </c>
      <c r="D265" s="10" t="str">
        <f t="shared" si="18"/>
        <v>Same</v>
      </c>
      <c r="E265" s="11">
        <v>52.39</v>
      </c>
      <c r="F265" s="11">
        <v>8.61</v>
      </c>
      <c r="G265" s="12">
        <f t="shared" si="19"/>
        <v>0.16434434052300056</v>
      </c>
      <c r="H265" s="11">
        <v>1.5</v>
      </c>
      <c r="I265" s="13">
        <v>0.86458333333333337</v>
      </c>
      <c r="J265" s="13">
        <v>0.8833333333333333</v>
      </c>
      <c r="K265" s="44">
        <f>Table3[[#This Row],[Delivery Time]]-Table3[[#This Row],[Order Time]]</f>
        <v>1.8749999999999933E-2</v>
      </c>
      <c r="L265" s="43">
        <v>26.999999999999996</v>
      </c>
      <c r="M265" s="10" t="s">
        <v>0</v>
      </c>
      <c r="N265" s="14"/>
      <c r="O265" s="14" t="s">
        <v>40</v>
      </c>
      <c r="P265" s="10" t="s">
        <v>20</v>
      </c>
      <c r="Q265" s="10"/>
    </row>
    <row r="266" spans="1:17" x14ac:dyDescent="0.25">
      <c r="A266" s="17">
        <f t="shared" si="16"/>
        <v>265</v>
      </c>
      <c r="B266" s="18">
        <v>42994</v>
      </c>
      <c r="C266" s="18" t="str">
        <f t="shared" si="17"/>
        <v>Saturday</v>
      </c>
      <c r="D266" s="10" t="str">
        <f t="shared" si="18"/>
        <v>Same</v>
      </c>
      <c r="E266" s="11">
        <v>28.9</v>
      </c>
      <c r="F266" s="11">
        <v>3.1</v>
      </c>
      <c r="G266" s="12">
        <f t="shared" si="19"/>
        <v>0.10726643598615918</v>
      </c>
      <c r="H266" s="11">
        <v>1.5</v>
      </c>
      <c r="I266" s="13">
        <v>0.86736111111111114</v>
      </c>
      <c r="J266" s="13">
        <v>0.89722222222222225</v>
      </c>
      <c r="K266" s="44">
        <f>Table3[[#This Row],[Delivery Time]]-Table3[[#This Row],[Order Time]]</f>
        <v>2.9861111111111116E-2</v>
      </c>
      <c r="L266" s="43">
        <v>43</v>
      </c>
      <c r="M266" s="10" t="s">
        <v>0</v>
      </c>
      <c r="N266" s="14"/>
      <c r="O266" s="14" t="s">
        <v>39</v>
      </c>
      <c r="P266" s="10" t="s">
        <v>20</v>
      </c>
      <c r="Q266" s="10"/>
    </row>
    <row r="267" spans="1:17" x14ac:dyDescent="0.25">
      <c r="A267" s="17">
        <f t="shared" si="16"/>
        <v>266</v>
      </c>
      <c r="B267" s="18">
        <v>42995</v>
      </c>
      <c r="C267" s="18" t="str">
        <f t="shared" si="17"/>
        <v>Sunday</v>
      </c>
      <c r="D267" s="10" t="str">
        <f t="shared" si="18"/>
        <v>Different</v>
      </c>
      <c r="E267" s="11">
        <v>22.41</v>
      </c>
      <c r="F267" s="11">
        <v>5</v>
      </c>
      <c r="G267" s="12">
        <f t="shared" si="19"/>
        <v>0.22311468094600626</v>
      </c>
      <c r="H267" s="11">
        <v>1.5</v>
      </c>
      <c r="I267" s="13">
        <v>0.70486111111111116</v>
      </c>
      <c r="J267" s="13">
        <v>0.72986111111111107</v>
      </c>
      <c r="K267" s="44">
        <f>Table3[[#This Row],[Delivery Time]]-Table3[[#This Row],[Order Time]]</f>
        <v>2.4999999999999911E-2</v>
      </c>
      <c r="L267" s="43">
        <v>36</v>
      </c>
      <c r="M267" s="10" t="s">
        <v>0</v>
      </c>
      <c r="N267" s="14"/>
      <c r="O267" s="14" t="s">
        <v>41</v>
      </c>
      <c r="P267" s="10" t="s">
        <v>20</v>
      </c>
      <c r="Q267" s="10"/>
    </row>
    <row r="268" spans="1:17" x14ac:dyDescent="0.25">
      <c r="A268" s="17">
        <f t="shared" si="16"/>
        <v>267</v>
      </c>
      <c r="B268" s="18">
        <v>42995</v>
      </c>
      <c r="C268" s="18" t="str">
        <f t="shared" si="17"/>
        <v>Sunday</v>
      </c>
      <c r="D268" s="10" t="str">
        <f t="shared" si="18"/>
        <v>Same</v>
      </c>
      <c r="E268" s="11">
        <v>18.350000000000001</v>
      </c>
      <c r="F268" s="11">
        <v>3.65</v>
      </c>
      <c r="G268" s="12">
        <f t="shared" si="19"/>
        <v>0.19891008174386918</v>
      </c>
      <c r="H268" s="11">
        <v>1.5</v>
      </c>
      <c r="I268" s="13">
        <v>0.72569444444444453</v>
      </c>
      <c r="J268" s="13">
        <v>0.75347222222222221</v>
      </c>
      <c r="K268" s="44">
        <f>Table3[[#This Row],[Delivery Time]]-Table3[[#This Row],[Order Time]]</f>
        <v>2.7777777777777679E-2</v>
      </c>
      <c r="L268" s="43">
        <v>40</v>
      </c>
      <c r="M268" s="10" t="s">
        <v>11</v>
      </c>
      <c r="N268" s="14"/>
      <c r="O268" s="14" t="s">
        <v>39</v>
      </c>
      <c r="P268" s="10" t="s">
        <v>20</v>
      </c>
      <c r="Q268" s="10"/>
    </row>
    <row r="269" spans="1:17" x14ac:dyDescent="0.25">
      <c r="A269" s="17">
        <f t="shared" si="16"/>
        <v>268</v>
      </c>
      <c r="B269" s="18">
        <v>42995</v>
      </c>
      <c r="C269" s="18" t="str">
        <f t="shared" si="17"/>
        <v>Sunday</v>
      </c>
      <c r="D269" s="10" t="str">
        <f t="shared" si="18"/>
        <v>Same</v>
      </c>
      <c r="E269" s="11">
        <v>46.98</v>
      </c>
      <c r="F269" s="11">
        <v>3.02</v>
      </c>
      <c r="G269" s="12">
        <f t="shared" si="19"/>
        <v>6.4282673478075786E-2</v>
      </c>
      <c r="H269" s="11">
        <v>5</v>
      </c>
      <c r="I269" s="13">
        <v>0.73888888888888893</v>
      </c>
      <c r="J269" s="13">
        <v>0.76041666666666663</v>
      </c>
      <c r="K269" s="44">
        <f>Table3[[#This Row],[Delivery Time]]-Table3[[#This Row],[Order Time]]</f>
        <v>2.1527777777777701E-2</v>
      </c>
      <c r="L269" s="43">
        <v>31.000000000000004</v>
      </c>
      <c r="M269" s="10" t="s">
        <v>11</v>
      </c>
      <c r="N269" s="14"/>
      <c r="O269" s="14" t="s">
        <v>39</v>
      </c>
      <c r="P269" s="10" t="s">
        <v>20</v>
      </c>
      <c r="Q269" s="10"/>
    </row>
    <row r="270" spans="1:17" x14ac:dyDescent="0.25">
      <c r="A270" s="17">
        <f t="shared" si="16"/>
        <v>269</v>
      </c>
      <c r="B270" s="18">
        <v>42995</v>
      </c>
      <c r="C270" s="18" t="str">
        <f t="shared" si="17"/>
        <v>Sunday</v>
      </c>
      <c r="D270" s="10" t="str">
        <f t="shared" si="18"/>
        <v>Same</v>
      </c>
      <c r="E270" s="11">
        <v>38.590000000000003</v>
      </c>
      <c r="F270" s="11">
        <v>6</v>
      </c>
      <c r="G270" s="12">
        <f t="shared" si="19"/>
        <v>0.15548069448043533</v>
      </c>
      <c r="H270" s="11">
        <v>5</v>
      </c>
      <c r="I270" s="13">
        <v>0.7631944444444444</v>
      </c>
      <c r="J270" s="13">
        <v>0.7909722222222223</v>
      </c>
      <c r="K270" s="44">
        <f>Table3[[#This Row],[Delivery Time]]-Table3[[#This Row],[Order Time]]</f>
        <v>2.7777777777777901E-2</v>
      </c>
      <c r="L270" s="43">
        <v>40</v>
      </c>
      <c r="M270" s="10" t="s">
        <v>0</v>
      </c>
      <c r="N270" s="14"/>
      <c r="O270" s="14" t="s">
        <v>39</v>
      </c>
      <c r="P270" s="10" t="s">
        <v>20</v>
      </c>
      <c r="Q270" s="10"/>
    </row>
    <row r="271" spans="1:17" x14ac:dyDescent="0.25">
      <c r="A271" s="17">
        <f t="shared" si="16"/>
        <v>270</v>
      </c>
      <c r="B271" s="18">
        <v>42995</v>
      </c>
      <c r="C271" s="18" t="str">
        <f t="shared" si="17"/>
        <v>Sunday</v>
      </c>
      <c r="D271" s="10" t="str">
        <f t="shared" si="18"/>
        <v>Same</v>
      </c>
      <c r="E271" s="11">
        <v>24.84</v>
      </c>
      <c r="F271" s="11">
        <v>8.16</v>
      </c>
      <c r="G271" s="12">
        <f t="shared" si="19"/>
        <v>0.32850241545893721</v>
      </c>
      <c r="H271" s="11">
        <v>1.5</v>
      </c>
      <c r="I271" s="13">
        <v>0.75347222222222221</v>
      </c>
      <c r="J271" s="13">
        <v>0.79652777777777783</v>
      </c>
      <c r="K271" s="44">
        <f>Table3[[#This Row],[Delivery Time]]-Table3[[#This Row],[Order Time]]</f>
        <v>4.3055555555555625E-2</v>
      </c>
      <c r="L271" s="43">
        <v>62.000000000000007</v>
      </c>
      <c r="M271" s="10" t="s">
        <v>0</v>
      </c>
      <c r="N271" s="14"/>
      <c r="O271" s="14" t="s">
        <v>39</v>
      </c>
      <c r="P271" s="10" t="s">
        <v>20</v>
      </c>
      <c r="Q271" s="10"/>
    </row>
    <row r="272" spans="1:17" x14ac:dyDescent="0.25">
      <c r="A272" s="17">
        <f t="shared" si="16"/>
        <v>271</v>
      </c>
      <c r="B272" s="18">
        <v>42995</v>
      </c>
      <c r="C272" s="18" t="str">
        <f t="shared" si="17"/>
        <v>Sunday</v>
      </c>
      <c r="D272" s="10" t="str">
        <f t="shared" si="18"/>
        <v>Same</v>
      </c>
      <c r="E272" s="11">
        <v>29.99</v>
      </c>
      <c r="F272" s="11">
        <v>8.01</v>
      </c>
      <c r="G272" s="12">
        <f t="shared" si="19"/>
        <v>0.26708902967655884</v>
      </c>
      <c r="H272" s="11">
        <v>1.5</v>
      </c>
      <c r="I272" s="13">
        <v>0.76250000000000007</v>
      </c>
      <c r="J272" s="13">
        <v>0.80208333333333337</v>
      </c>
      <c r="K272" s="44">
        <f>Table3[[#This Row],[Delivery Time]]-Table3[[#This Row],[Order Time]]</f>
        <v>3.9583333333333304E-2</v>
      </c>
      <c r="L272" s="43">
        <v>57</v>
      </c>
      <c r="M272" s="10" t="s">
        <v>0</v>
      </c>
      <c r="N272" s="14"/>
      <c r="O272" s="14" t="s">
        <v>39</v>
      </c>
      <c r="P272" s="10" t="s">
        <v>20</v>
      </c>
      <c r="Q272" s="10"/>
    </row>
    <row r="273" spans="1:17" x14ac:dyDescent="0.25">
      <c r="A273" s="17">
        <f t="shared" si="16"/>
        <v>272</v>
      </c>
      <c r="B273" s="18">
        <v>42995</v>
      </c>
      <c r="C273" s="18" t="str">
        <f t="shared" si="17"/>
        <v>Sunday</v>
      </c>
      <c r="D273" s="10" t="str">
        <f t="shared" si="18"/>
        <v>Same</v>
      </c>
      <c r="E273" s="11">
        <v>31.39</v>
      </c>
      <c r="F273" s="11">
        <v>5</v>
      </c>
      <c r="G273" s="12">
        <f t="shared" si="19"/>
        <v>0.15928639694170119</v>
      </c>
      <c r="H273" s="11">
        <v>1.5</v>
      </c>
      <c r="I273" s="13">
        <v>0.8027777777777777</v>
      </c>
      <c r="J273" s="13">
        <v>0.82430555555555562</v>
      </c>
      <c r="K273" s="44">
        <f>Table3[[#This Row],[Delivery Time]]-Table3[[#This Row],[Order Time]]</f>
        <v>2.1527777777777923E-2</v>
      </c>
      <c r="L273" s="43">
        <v>31.000000000000004</v>
      </c>
      <c r="M273" s="10" t="s">
        <v>11</v>
      </c>
      <c r="N273" s="14"/>
      <c r="O273" s="14" t="s">
        <v>39</v>
      </c>
      <c r="P273" s="10" t="s">
        <v>20</v>
      </c>
      <c r="Q273" s="10"/>
    </row>
    <row r="274" spans="1:17" x14ac:dyDescent="0.25">
      <c r="A274" s="17">
        <f t="shared" si="16"/>
        <v>273</v>
      </c>
      <c r="B274" s="18">
        <v>43000</v>
      </c>
      <c r="C274" s="18" t="str">
        <f t="shared" si="17"/>
        <v>Friday</v>
      </c>
      <c r="D274" s="10" t="str">
        <f t="shared" si="18"/>
        <v>Different</v>
      </c>
      <c r="E274" s="11">
        <v>31.07</v>
      </c>
      <c r="F274" s="11">
        <v>6.93</v>
      </c>
      <c r="G274" s="12">
        <f t="shared" si="19"/>
        <v>0.22304473768908914</v>
      </c>
      <c r="H274" s="11">
        <v>1.5</v>
      </c>
      <c r="I274" s="13">
        <v>0.69861111111111107</v>
      </c>
      <c r="J274" s="13">
        <v>0.72013888888888899</v>
      </c>
      <c r="K274" s="44">
        <f>Table3[[#This Row],[Delivery Time]]-Table3[[#This Row],[Order Time]]</f>
        <v>2.1527777777777923E-2</v>
      </c>
      <c r="L274" s="43">
        <v>31.000000000000004</v>
      </c>
      <c r="M274" s="10" t="s">
        <v>0</v>
      </c>
      <c r="N274" s="14" t="s">
        <v>25</v>
      </c>
      <c r="O274" s="14" t="s">
        <v>39</v>
      </c>
      <c r="P274" s="10" t="s">
        <v>20</v>
      </c>
      <c r="Q274" s="10"/>
    </row>
    <row r="275" spans="1:17" x14ac:dyDescent="0.25">
      <c r="A275" s="17">
        <f t="shared" si="16"/>
        <v>274</v>
      </c>
      <c r="B275" s="18">
        <v>43001</v>
      </c>
      <c r="C275" s="18" t="str">
        <f t="shared" si="17"/>
        <v>Saturday</v>
      </c>
      <c r="D275" s="10" t="str">
        <f t="shared" si="18"/>
        <v>Different</v>
      </c>
      <c r="E275" s="11">
        <v>40.49</v>
      </c>
      <c r="F275" s="11">
        <v>5</v>
      </c>
      <c r="G275" s="12">
        <f t="shared" si="19"/>
        <v>0.12348728081007655</v>
      </c>
      <c r="H275" s="11">
        <v>1.5</v>
      </c>
      <c r="I275" s="13">
        <v>0.72499999999999998</v>
      </c>
      <c r="J275" s="13">
        <v>0.7402777777777777</v>
      </c>
      <c r="K275" s="44">
        <f>Table3[[#This Row],[Delivery Time]]-Table3[[#This Row],[Order Time]]</f>
        <v>1.5277777777777724E-2</v>
      </c>
      <c r="L275" s="43">
        <v>22</v>
      </c>
      <c r="M275" s="10" t="s">
        <v>12</v>
      </c>
      <c r="N275" s="14"/>
      <c r="O275" s="14" t="s">
        <v>41</v>
      </c>
      <c r="P275" s="10" t="s">
        <v>20</v>
      </c>
      <c r="Q275" s="10"/>
    </row>
    <row r="276" spans="1:17" x14ac:dyDescent="0.25">
      <c r="A276" s="17">
        <f t="shared" si="16"/>
        <v>275</v>
      </c>
      <c r="B276" s="18">
        <v>43001</v>
      </c>
      <c r="C276" s="18" t="str">
        <f t="shared" si="17"/>
        <v>Saturday</v>
      </c>
      <c r="D276" s="10" t="str">
        <f t="shared" si="18"/>
        <v>Same</v>
      </c>
      <c r="E276" s="11">
        <v>24.03</v>
      </c>
      <c r="F276" s="11">
        <v>6</v>
      </c>
      <c r="G276" s="12">
        <f t="shared" si="19"/>
        <v>0.24968789013732834</v>
      </c>
      <c r="H276" s="11">
        <v>1.5</v>
      </c>
      <c r="I276" s="13">
        <v>0.77083333333333337</v>
      </c>
      <c r="J276" s="13">
        <v>0.79305555555555562</v>
      </c>
      <c r="K276" s="44">
        <f>Table3[[#This Row],[Delivery Time]]-Table3[[#This Row],[Order Time]]</f>
        <v>2.2222222222222254E-2</v>
      </c>
      <c r="L276" s="43">
        <v>32</v>
      </c>
      <c r="M276" s="10" t="s">
        <v>0</v>
      </c>
      <c r="N276" s="14"/>
      <c r="O276" s="14" t="s">
        <v>39</v>
      </c>
      <c r="P276" s="10" t="s">
        <v>20</v>
      </c>
      <c r="Q276" s="10"/>
    </row>
    <row r="277" spans="1:17" x14ac:dyDescent="0.25">
      <c r="A277" s="17">
        <f t="shared" si="16"/>
        <v>276</v>
      </c>
      <c r="B277" s="18">
        <v>43001</v>
      </c>
      <c r="C277" s="18" t="str">
        <f t="shared" si="17"/>
        <v>Saturday</v>
      </c>
      <c r="D277" s="10" t="str">
        <f t="shared" si="18"/>
        <v>Same</v>
      </c>
      <c r="E277" s="11">
        <v>58.4</v>
      </c>
      <c r="F277" s="11">
        <v>10</v>
      </c>
      <c r="G277" s="12">
        <f t="shared" si="19"/>
        <v>0.17123287671232876</v>
      </c>
      <c r="H277" s="11">
        <v>5</v>
      </c>
      <c r="I277" s="13">
        <v>0.77222222222222225</v>
      </c>
      <c r="J277" s="13">
        <v>0.80208333333333337</v>
      </c>
      <c r="K277" s="44">
        <f>Table3[[#This Row],[Delivery Time]]-Table3[[#This Row],[Order Time]]</f>
        <v>2.9861111111111116E-2</v>
      </c>
      <c r="L277" s="43">
        <v>43</v>
      </c>
      <c r="M277" s="10" t="s">
        <v>0</v>
      </c>
      <c r="N277" s="14"/>
      <c r="O277" s="14" t="s">
        <v>39</v>
      </c>
      <c r="P277" s="10" t="s">
        <v>20</v>
      </c>
      <c r="Q277" s="10"/>
    </row>
    <row r="278" spans="1:17" x14ac:dyDescent="0.25">
      <c r="A278" s="17">
        <f t="shared" si="16"/>
        <v>277</v>
      </c>
      <c r="B278" s="18">
        <v>43001</v>
      </c>
      <c r="C278" s="18" t="str">
        <f t="shared" si="17"/>
        <v>Saturday</v>
      </c>
      <c r="D278" s="10" t="str">
        <f t="shared" si="18"/>
        <v>Same</v>
      </c>
      <c r="E278" s="11">
        <v>18.89</v>
      </c>
      <c r="F278" s="11">
        <v>4.1100000000000003</v>
      </c>
      <c r="G278" s="12">
        <f t="shared" si="19"/>
        <v>0.21757543673901536</v>
      </c>
      <c r="H278" s="11">
        <v>1.5</v>
      </c>
      <c r="I278" s="13">
        <v>0.77361111111111114</v>
      </c>
      <c r="J278" s="13">
        <v>0.80902777777777779</v>
      </c>
      <c r="K278" s="44">
        <f>Table3[[#This Row],[Delivery Time]]-Table3[[#This Row],[Order Time]]</f>
        <v>3.5416666666666652E-2</v>
      </c>
      <c r="L278" s="43">
        <v>51</v>
      </c>
      <c r="M278" s="10" t="s">
        <v>0</v>
      </c>
      <c r="N278" s="14"/>
      <c r="O278" s="14" t="s">
        <v>39</v>
      </c>
      <c r="P278" s="10" t="s">
        <v>20</v>
      </c>
      <c r="Q278" s="10"/>
    </row>
    <row r="279" spans="1:17" x14ac:dyDescent="0.25">
      <c r="A279" s="17">
        <f t="shared" si="16"/>
        <v>278</v>
      </c>
      <c r="B279" s="18">
        <v>43001</v>
      </c>
      <c r="C279" s="18" t="str">
        <f t="shared" si="17"/>
        <v>Saturday</v>
      </c>
      <c r="D279" s="10" t="str">
        <f t="shared" si="18"/>
        <v>Same</v>
      </c>
      <c r="E279" s="11">
        <v>42.38</v>
      </c>
      <c r="F279" s="11">
        <v>10</v>
      </c>
      <c r="G279" s="12">
        <f t="shared" si="19"/>
        <v>0.23596035865974516</v>
      </c>
      <c r="H279" s="11">
        <v>1.5</v>
      </c>
      <c r="I279" s="13">
        <v>0.82291666666666663</v>
      </c>
      <c r="J279" s="13">
        <v>0.83194444444444438</v>
      </c>
      <c r="K279" s="44">
        <f>Table3[[#This Row],[Delivery Time]]-Table3[[#This Row],[Order Time]]</f>
        <v>9.0277777777777457E-3</v>
      </c>
      <c r="L279" s="43">
        <v>13</v>
      </c>
      <c r="M279" s="10" t="s">
        <v>11</v>
      </c>
      <c r="N279" s="14"/>
      <c r="O279" s="14" t="s">
        <v>40</v>
      </c>
      <c r="P279" s="10" t="s">
        <v>20</v>
      </c>
      <c r="Q279" s="10"/>
    </row>
    <row r="280" spans="1:17" x14ac:dyDescent="0.25">
      <c r="A280" s="17">
        <f t="shared" si="16"/>
        <v>279</v>
      </c>
      <c r="B280" s="18">
        <v>43001</v>
      </c>
      <c r="C280" s="18" t="str">
        <f t="shared" si="17"/>
        <v>Saturday</v>
      </c>
      <c r="D280" s="10" t="str">
        <f t="shared" si="18"/>
        <v>Same</v>
      </c>
      <c r="E280" s="11">
        <v>25.66</v>
      </c>
      <c r="F280" s="11">
        <v>5.33</v>
      </c>
      <c r="G280" s="12">
        <f t="shared" si="19"/>
        <v>0.20771628994544036</v>
      </c>
      <c r="H280" s="11">
        <v>1.5</v>
      </c>
      <c r="I280" s="13">
        <v>0.83333333333333337</v>
      </c>
      <c r="J280" s="13">
        <v>0.84791666666666676</v>
      </c>
      <c r="K280" s="44">
        <f>Table3[[#This Row],[Delivery Time]]-Table3[[#This Row],[Order Time]]</f>
        <v>1.4583333333333393E-2</v>
      </c>
      <c r="L280" s="43">
        <v>21</v>
      </c>
      <c r="M280" s="10" t="s">
        <v>11</v>
      </c>
      <c r="N280" s="14"/>
      <c r="O280" s="14" t="s">
        <v>41</v>
      </c>
      <c r="P280" s="10" t="s">
        <v>20</v>
      </c>
      <c r="Q280" s="10"/>
    </row>
    <row r="281" spans="1:17" x14ac:dyDescent="0.25">
      <c r="A281" s="17">
        <f t="shared" si="16"/>
        <v>280</v>
      </c>
      <c r="B281" s="18">
        <v>43001</v>
      </c>
      <c r="C281" s="18" t="str">
        <f t="shared" si="17"/>
        <v>Saturday</v>
      </c>
      <c r="D281" s="10" t="str">
        <f t="shared" si="18"/>
        <v>Same</v>
      </c>
      <c r="E281" s="11">
        <v>23.82</v>
      </c>
      <c r="F281" s="11">
        <v>5</v>
      </c>
      <c r="G281" s="12">
        <f t="shared" si="19"/>
        <v>0.20990764063811923</v>
      </c>
      <c r="H281" s="11">
        <v>1.5</v>
      </c>
      <c r="I281" s="13">
        <v>0.87708333333333333</v>
      </c>
      <c r="J281" s="13">
        <v>0.8881944444444444</v>
      </c>
      <c r="K281" s="44">
        <f>Table3[[#This Row],[Delivery Time]]-Table3[[#This Row],[Order Time]]</f>
        <v>1.1111111111111072E-2</v>
      </c>
      <c r="L281" s="43">
        <v>16</v>
      </c>
      <c r="M281" s="10" t="s">
        <v>11</v>
      </c>
      <c r="N281" s="14"/>
      <c r="O281" s="14" t="s">
        <v>40</v>
      </c>
      <c r="P281" s="10" t="s">
        <v>20</v>
      </c>
      <c r="Q281" s="10"/>
    </row>
    <row r="282" spans="1:17" x14ac:dyDescent="0.25">
      <c r="A282" s="17">
        <f t="shared" si="16"/>
        <v>281</v>
      </c>
      <c r="B282" s="18">
        <v>43002</v>
      </c>
      <c r="C282" s="18" t="str">
        <f t="shared" si="17"/>
        <v>Sunday</v>
      </c>
      <c r="D282" s="10" t="str">
        <f t="shared" si="18"/>
        <v>Different</v>
      </c>
      <c r="E282" s="11">
        <v>48.39</v>
      </c>
      <c r="F282" s="11">
        <v>5</v>
      </c>
      <c r="G282" s="12">
        <f t="shared" si="19"/>
        <v>0.10332713370531102</v>
      </c>
      <c r="H282" s="11">
        <v>5</v>
      </c>
      <c r="I282" s="13">
        <v>0.69027777777777777</v>
      </c>
      <c r="J282" s="13">
        <v>0.71666666666666667</v>
      </c>
      <c r="K282" s="44">
        <f>Table3[[#This Row],[Delivery Time]]-Table3[[#This Row],[Order Time]]</f>
        <v>2.6388888888888906E-2</v>
      </c>
      <c r="L282" s="43">
        <v>38</v>
      </c>
      <c r="M282" s="10" t="s">
        <v>0</v>
      </c>
      <c r="N282" s="14"/>
      <c r="O282" s="14" t="s">
        <v>39</v>
      </c>
      <c r="P282" s="10" t="s">
        <v>20</v>
      </c>
      <c r="Q282" s="10"/>
    </row>
    <row r="283" spans="1:17" x14ac:dyDescent="0.25">
      <c r="A283" s="17">
        <f t="shared" si="16"/>
        <v>282</v>
      </c>
      <c r="B283" s="18">
        <v>43002</v>
      </c>
      <c r="C283" s="18" t="str">
        <f t="shared" si="17"/>
        <v>Sunday</v>
      </c>
      <c r="D283" s="10" t="str">
        <f t="shared" si="18"/>
        <v>Same</v>
      </c>
      <c r="E283" s="11">
        <v>58.83</v>
      </c>
      <c r="F283" s="11">
        <v>8</v>
      </c>
      <c r="G283" s="12">
        <f t="shared" si="19"/>
        <v>0.135985041645419</v>
      </c>
      <c r="H283" s="11">
        <v>1.5</v>
      </c>
      <c r="I283" s="13">
        <v>0.7270833333333333</v>
      </c>
      <c r="J283" s="13">
        <v>0.74652777777777779</v>
      </c>
      <c r="K283" s="44">
        <f>Table3[[#This Row],[Delivery Time]]-Table3[[#This Row],[Order Time]]</f>
        <v>1.9444444444444486E-2</v>
      </c>
      <c r="L283" s="43">
        <v>28</v>
      </c>
      <c r="M283" s="10" t="s">
        <v>0</v>
      </c>
      <c r="N283" s="14"/>
      <c r="O283" s="14" t="s">
        <v>39</v>
      </c>
      <c r="P283" s="10" t="s">
        <v>20</v>
      </c>
      <c r="Q283" s="10"/>
    </row>
    <row r="284" spans="1:17" x14ac:dyDescent="0.25">
      <c r="A284" s="17">
        <f t="shared" si="16"/>
        <v>283</v>
      </c>
      <c r="B284" s="18">
        <v>43002</v>
      </c>
      <c r="C284" s="18" t="str">
        <f t="shared" si="17"/>
        <v>Sunday</v>
      </c>
      <c r="D284" s="10" t="str">
        <f t="shared" si="18"/>
        <v>Same</v>
      </c>
      <c r="E284" s="11">
        <v>17.809999999999999</v>
      </c>
      <c r="F284" s="11">
        <v>5</v>
      </c>
      <c r="G284" s="12">
        <f t="shared" si="19"/>
        <v>0.28074115665356542</v>
      </c>
      <c r="H284" s="11">
        <v>5</v>
      </c>
      <c r="I284" s="13">
        <v>0.72569444444444453</v>
      </c>
      <c r="J284" s="13">
        <v>0.75902777777777775</v>
      </c>
      <c r="K284" s="44">
        <f>Table3[[#This Row],[Delivery Time]]-Table3[[#This Row],[Order Time]]</f>
        <v>3.3333333333333215E-2</v>
      </c>
      <c r="L284" s="43">
        <v>48</v>
      </c>
      <c r="M284" s="10" t="s">
        <v>0</v>
      </c>
      <c r="N284" s="14"/>
      <c r="O284" s="14" t="s">
        <v>39</v>
      </c>
      <c r="P284" s="10" t="s">
        <v>20</v>
      </c>
      <c r="Q284" s="10"/>
    </row>
    <row r="285" spans="1:17" x14ac:dyDescent="0.25">
      <c r="A285" s="17">
        <f t="shared" si="16"/>
        <v>284</v>
      </c>
      <c r="B285" s="18">
        <v>43002</v>
      </c>
      <c r="C285" s="18" t="str">
        <f t="shared" si="17"/>
        <v>Sunday</v>
      </c>
      <c r="D285" s="10" t="str">
        <f t="shared" si="18"/>
        <v>Same</v>
      </c>
      <c r="E285" s="11">
        <v>20.239999999999998</v>
      </c>
      <c r="F285" s="11">
        <v>10</v>
      </c>
      <c r="G285" s="12">
        <f t="shared" si="19"/>
        <v>0.49407114624505932</v>
      </c>
      <c r="H285" s="11">
        <v>1.5</v>
      </c>
      <c r="I285" s="13">
        <v>0.73055555555555562</v>
      </c>
      <c r="J285" s="13">
        <v>0.76527777777777783</v>
      </c>
      <c r="K285" s="44">
        <f>Table3[[#This Row],[Delivery Time]]-Table3[[#This Row],[Order Time]]</f>
        <v>3.472222222222221E-2</v>
      </c>
      <c r="L285" s="43">
        <v>50</v>
      </c>
      <c r="M285" s="10" t="s">
        <v>0</v>
      </c>
      <c r="N285" s="14"/>
      <c r="O285" s="14" t="s">
        <v>39</v>
      </c>
      <c r="P285" s="10" t="s">
        <v>20</v>
      </c>
      <c r="Q285" s="10"/>
    </row>
    <row r="286" spans="1:17" x14ac:dyDescent="0.25">
      <c r="A286" s="17">
        <f t="shared" si="16"/>
        <v>285</v>
      </c>
      <c r="B286" s="18">
        <v>43002</v>
      </c>
      <c r="C286" s="18" t="str">
        <f t="shared" si="17"/>
        <v>Sunday</v>
      </c>
      <c r="D286" s="10" t="str">
        <f t="shared" si="18"/>
        <v>Same</v>
      </c>
      <c r="E286" s="11">
        <v>27.55</v>
      </c>
      <c r="F286" s="11">
        <v>5</v>
      </c>
      <c r="G286" s="12">
        <f t="shared" si="19"/>
        <v>0.18148820326678766</v>
      </c>
      <c r="H286" s="11">
        <v>5</v>
      </c>
      <c r="I286" s="13">
        <v>0.75624999999999998</v>
      </c>
      <c r="J286" s="13">
        <v>0.78888888888888886</v>
      </c>
      <c r="K286" s="44">
        <f>Table3[[#This Row],[Delivery Time]]-Table3[[#This Row],[Order Time]]</f>
        <v>3.2638888888888884E-2</v>
      </c>
      <c r="L286" s="43">
        <v>47.000000000000007</v>
      </c>
      <c r="M286" s="10" t="s">
        <v>12</v>
      </c>
      <c r="N286" s="14"/>
      <c r="O286" s="14" t="s">
        <v>39</v>
      </c>
      <c r="P286" s="10" t="s">
        <v>20</v>
      </c>
      <c r="Q286" s="10"/>
    </row>
    <row r="287" spans="1:17" x14ac:dyDescent="0.25">
      <c r="A287" s="17">
        <f t="shared" si="16"/>
        <v>286</v>
      </c>
      <c r="B287" s="18">
        <v>43002</v>
      </c>
      <c r="C287" s="18" t="str">
        <f t="shared" si="17"/>
        <v>Sunday</v>
      </c>
      <c r="D287" s="10" t="str">
        <f t="shared" si="18"/>
        <v>Same</v>
      </c>
      <c r="E287" s="11">
        <v>38.65</v>
      </c>
      <c r="F287" s="11">
        <v>10.35</v>
      </c>
      <c r="G287" s="12">
        <f t="shared" si="19"/>
        <v>0.26778783958602848</v>
      </c>
      <c r="H287" s="11">
        <v>1.5</v>
      </c>
      <c r="I287" s="13">
        <v>0.8027777777777777</v>
      </c>
      <c r="J287" s="13">
        <v>0.82847222222222217</v>
      </c>
      <c r="K287" s="44">
        <f>Table3[[#This Row],[Delivery Time]]-Table3[[#This Row],[Order Time]]</f>
        <v>2.5694444444444464E-2</v>
      </c>
      <c r="L287" s="43">
        <v>37</v>
      </c>
      <c r="M287" s="10" t="s">
        <v>0</v>
      </c>
      <c r="N287" s="14"/>
      <c r="O287" s="14" t="s">
        <v>39</v>
      </c>
      <c r="P287" s="10" t="s">
        <v>20</v>
      </c>
      <c r="Q287" s="10"/>
    </row>
    <row r="288" spans="1:17" x14ac:dyDescent="0.25">
      <c r="A288" s="17">
        <f t="shared" si="16"/>
        <v>287</v>
      </c>
      <c r="B288" s="18">
        <v>43002</v>
      </c>
      <c r="C288" s="18" t="str">
        <f t="shared" si="17"/>
        <v>Sunday</v>
      </c>
      <c r="D288" s="10" t="str">
        <f t="shared" si="18"/>
        <v>Same</v>
      </c>
      <c r="E288" s="11">
        <v>32.950000000000003</v>
      </c>
      <c r="F288" s="11">
        <v>2</v>
      </c>
      <c r="G288" s="12">
        <f t="shared" si="19"/>
        <v>6.0698027314112286E-2</v>
      </c>
      <c r="H288" s="11">
        <v>1.5</v>
      </c>
      <c r="I288" s="13">
        <v>0.80486111111111114</v>
      </c>
      <c r="J288" s="13">
        <v>0.84652777777777777</v>
      </c>
      <c r="K288" s="44">
        <f>Table3[[#This Row],[Delivery Time]]-Table3[[#This Row],[Order Time]]</f>
        <v>4.166666666666663E-2</v>
      </c>
      <c r="L288" s="43">
        <v>60</v>
      </c>
      <c r="M288" s="10" t="s">
        <v>0</v>
      </c>
      <c r="N288" s="14"/>
      <c r="O288" s="14" t="s">
        <v>39</v>
      </c>
      <c r="P288" s="10" t="s">
        <v>20</v>
      </c>
      <c r="Q288" s="10"/>
    </row>
    <row r="289" spans="1:17" x14ac:dyDescent="0.25">
      <c r="A289" s="17">
        <f t="shared" si="16"/>
        <v>288</v>
      </c>
      <c r="B289" s="18">
        <v>43002</v>
      </c>
      <c r="C289" s="18" t="str">
        <f t="shared" si="17"/>
        <v>Sunday</v>
      </c>
      <c r="D289" s="10" t="str">
        <f t="shared" si="18"/>
        <v>Same</v>
      </c>
      <c r="E289" s="11">
        <v>24.84</v>
      </c>
      <c r="F289" s="11">
        <v>5</v>
      </c>
      <c r="G289" s="12">
        <f t="shared" si="19"/>
        <v>0.20128824476650564</v>
      </c>
      <c r="H289" s="11">
        <v>1.5</v>
      </c>
      <c r="I289" s="13">
        <v>0.81111111111111101</v>
      </c>
      <c r="J289" s="13">
        <v>0.83263888888888893</v>
      </c>
      <c r="K289" s="44">
        <f>Table3[[#This Row],[Delivery Time]]-Table3[[#This Row],[Order Time]]</f>
        <v>2.1527777777777923E-2</v>
      </c>
      <c r="L289" s="43">
        <v>31.000000000000004</v>
      </c>
      <c r="M289" s="10" t="s">
        <v>0</v>
      </c>
      <c r="N289" s="14"/>
      <c r="O289" s="14" t="s">
        <v>39</v>
      </c>
      <c r="P289" s="10" t="s">
        <v>20</v>
      </c>
      <c r="Q289" s="10"/>
    </row>
    <row r="290" spans="1:17" x14ac:dyDescent="0.25">
      <c r="A290" s="17">
        <f t="shared" si="16"/>
        <v>289</v>
      </c>
      <c r="B290" s="18">
        <v>43002</v>
      </c>
      <c r="C290" s="18" t="str">
        <f t="shared" si="17"/>
        <v>Sunday</v>
      </c>
      <c r="D290" s="10" t="str">
        <f t="shared" si="18"/>
        <v>Same</v>
      </c>
      <c r="E290" s="11">
        <v>18.350000000000001</v>
      </c>
      <c r="F290" s="11">
        <v>6</v>
      </c>
      <c r="G290" s="12">
        <f t="shared" si="19"/>
        <v>0.32697547683923706</v>
      </c>
      <c r="H290" s="11">
        <v>1.5</v>
      </c>
      <c r="I290" s="13">
        <v>0.84861111111111109</v>
      </c>
      <c r="J290" s="13">
        <v>0.86249999999999993</v>
      </c>
      <c r="K290" s="44">
        <f>Table3[[#This Row],[Delivery Time]]-Table3[[#This Row],[Order Time]]</f>
        <v>1.388888888888884E-2</v>
      </c>
      <c r="L290" s="43">
        <v>20</v>
      </c>
      <c r="M290" s="10" t="s">
        <v>0</v>
      </c>
      <c r="N290" s="14"/>
      <c r="O290" s="14" t="s">
        <v>39</v>
      </c>
      <c r="P290" s="10" t="s">
        <v>20</v>
      </c>
      <c r="Q290" s="10"/>
    </row>
    <row r="291" spans="1:17" x14ac:dyDescent="0.25">
      <c r="A291" s="17">
        <f t="shared" si="16"/>
        <v>290</v>
      </c>
      <c r="B291" s="18">
        <v>43002</v>
      </c>
      <c r="C291" s="18" t="str">
        <f t="shared" si="17"/>
        <v>Sunday</v>
      </c>
      <c r="D291" s="10" t="str">
        <f t="shared" si="18"/>
        <v>Same</v>
      </c>
      <c r="E291" s="11">
        <v>13.48</v>
      </c>
      <c r="F291" s="11">
        <v>8.52</v>
      </c>
      <c r="G291" s="12">
        <f t="shared" si="19"/>
        <v>0.63204747774480707</v>
      </c>
      <c r="H291" s="11">
        <v>1.5</v>
      </c>
      <c r="I291" s="13">
        <v>0.88541666666666663</v>
      </c>
      <c r="J291" s="13">
        <v>0.89444444444444438</v>
      </c>
      <c r="K291" s="44">
        <f>Table3[[#This Row],[Delivery Time]]-Table3[[#This Row],[Order Time]]</f>
        <v>9.0277777777777457E-3</v>
      </c>
      <c r="L291" s="43">
        <v>13</v>
      </c>
      <c r="M291" s="10" t="s">
        <v>0</v>
      </c>
      <c r="N291" s="14"/>
      <c r="O291" s="14" t="s">
        <v>39</v>
      </c>
      <c r="P291" s="10" t="s">
        <v>20</v>
      </c>
      <c r="Q291" s="10"/>
    </row>
    <row r="292" spans="1:17" x14ac:dyDescent="0.25">
      <c r="A292" s="17">
        <f t="shared" si="16"/>
        <v>291</v>
      </c>
      <c r="B292" s="18">
        <v>43007</v>
      </c>
      <c r="C292" s="18" t="str">
        <f t="shared" si="17"/>
        <v>Friday</v>
      </c>
      <c r="D292" s="10" t="str">
        <f t="shared" si="18"/>
        <v>Different</v>
      </c>
      <c r="E292" s="11">
        <v>230.25</v>
      </c>
      <c r="F292" s="11">
        <v>30.75</v>
      </c>
      <c r="G292" s="12">
        <f t="shared" si="19"/>
        <v>0.13355048859934854</v>
      </c>
      <c r="H292" s="11">
        <v>1.5</v>
      </c>
      <c r="I292" s="13">
        <v>0.72916666666666663</v>
      </c>
      <c r="J292" s="13">
        <v>0.72916666666666663</v>
      </c>
      <c r="K292" s="44">
        <f>Table3[[#This Row],[Delivery Time]]-Table3[[#This Row],[Order Time]]</f>
        <v>0</v>
      </c>
      <c r="L292" s="43">
        <v>0</v>
      </c>
      <c r="M292" s="10" t="s">
        <v>11</v>
      </c>
      <c r="N292" s="14"/>
      <c r="O292" s="14" t="s">
        <v>42</v>
      </c>
      <c r="P292" s="10" t="s">
        <v>16</v>
      </c>
      <c r="Q292" s="10"/>
    </row>
    <row r="293" spans="1:17" x14ac:dyDescent="0.25">
      <c r="A293" s="17">
        <f t="shared" si="16"/>
        <v>292</v>
      </c>
      <c r="B293" s="18">
        <v>43007</v>
      </c>
      <c r="C293" s="18" t="str">
        <f t="shared" si="17"/>
        <v>Friday</v>
      </c>
      <c r="D293" s="10" t="str">
        <f t="shared" si="18"/>
        <v>Same</v>
      </c>
      <c r="E293" s="11">
        <v>35.56</v>
      </c>
      <c r="F293" s="11">
        <v>4</v>
      </c>
      <c r="G293" s="12">
        <f t="shared" si="19"/>
        <v>0.11248593925759279</v>
      </c>
      <c r="H293" s="11">
        <v>7</v>
      </c>
      <c r="I293" s="13">
        <v>0.74861111111111101</v>
      </c>
      <c r="J293" s="13">
        <v>0.77986111111111101</v>
      </c>
      <c r="K293" s="44">
        <f>Table3[[#This Row],[Delivery Time]]-Table3[[#This Row],[Order Time]]</f>
        <v>3.125E-2</v>
      </c>
      <c r="L293" s="43">
        <v>45</v>
      </c>
      <c r="M293" s="10" t="s">
        <v>0</v>
      </c>
      <c r="N293" s="14"/>
      <c r="O293" s="14" t="s">
        <v>39</v>
      </c>
      <c r="P293" s="10" t="s">
        <v>20</v>
      </c>
      <c r="Q293" s="10"/>
    </row>
    <row r="294" spans="1:17" x14ac:dyDescent="0.25">
      <c r="A294" s="17">
        <f t="shared" si="16"/>
        <v>293</v>
      </c>
      <c r="B294" s="18">
        <v>43007</v>
      </c>
      <c r="C294" s="18" t="str">
        <f t="shared" si="17"/>
        <v>Friday</v>
      </c>
      <c r="D294" s="10" t="str">
        <f t="shared" si="18"/>
        <v>Same</v>
      </c>
      <c r="E294" s="11">
        <v>15.16</v>
      </c>
      <c r="F294" s="11">
        <v>3.84</v>
      </c>
      <c r="G294" s="12">
        <f t="shared" si="19"/>
        <v>0.25329815303430075</v>
      </c>
      <c r="H294" s="11">
        <v>1.5</v>
      </c>
      <c r="I294" s="13">
        <v>0.75694444444444453</v>
      </c>
      <c r="J294" s="13">
        <v>0.79375000000000007</v>
      </c>
      <c r="K294" s="44">
        <f>Table3[[#This Row],[Delivery Time]]-Table3[[#This Row],[Order Time]]</f>
        <v>3.6805555555555536E-2</v>
      </c>
      <c r="L294" s="43">
        <v>53</v>
      </c>
      <c r="M294" s="10" t="s">
        <v>0</v>
      </c>
      <c r="N294" s="14"/>
      <c r="O294" s="14" t="s">
        <v>39</v>
      </c>
      <c r="P294" s="10" t="s">
        <v>20</v>
      </c>
      <c r="Q294" s="10"/>
    </row>
    <row r="295" spans="1:17" x14ac:dyDescent="0.25">
      <c r="A295" s="17">
        <f t="shared" si="16"/>
        <v>294</v>
      </c>
      <c r="B295" s="18">
        <v>43007</v>
      </c>
      <c r="C295" s="18" t="str">
        <f t="shared" si="17"/>
        <v>Friday</v>
      </c>
      <c r="D295" s="10" t="str">
        <f t="shared" si="18"/>
        <v>Same</v>
      </c>
      <c r="E295" s="11">
        <v>30.2</v>
      </c>
      <c r="F295" s="11">
        <v>5</v>
      </c>
      <c r="G295" s="12">
        <f t="shared" si="19"/>
        <v>0.16556291390728478</v>
      </c>
      <c r="H295" s="11">
        <v>1.5</v>
      </c>
      <c r="I295" s="13">
        <v>0.7909722222222223</v>
      </c>
      <c r="J295" s="13">
        <v>0.81388888888888899</v>
      </c>
      <c r="K295" s="44">
        <f>Table3[[#This Row],[Delivery Time]]-Table3[[#This Row],[Order Time]]</f>
        <v>2.2916666666666696E-2</v>
      </c>
      <c r="L295" s="43">
        <v>33</v>
      </c>
      <c r="M295" s="10" t="s">
        <v>11</v>
      </c>
      <c r="N295" s="14"/>
      <c r="O295" s="14" t="s">
        <v>39</v>
      </c>
      <c r="P295" s="10" t="s">
        <v>20</v>
      </c>
      <c r="Q295" s="10"/>
    </row>
    <row r="296" spans="1:17" x14ac:dyDescent="0.25">
      <c r="A296" s="17">
        <f t="shared" si="16"/>
        <v>295</v>
      </c>
      <c r="B296" s="18">
        <v>43007</v>
      </c>
      <c r="C296" s="18" t="str">
        <f t="shared" si="17"/>
        <v>Friday</v>
      </c>
      <c r="D296" s="10" t="str">
        <f t="shared" si="18"/>
        <v>Same</v>
      </c>
      <c r="E296" s="11">
        <v>18.399999999999999</v>
      </c>
      <c r="F296" s="11">
        <v>5</v>
      </c>
      <c r="G296" s="12">
        <f t="shared" si="19"/>
        <v>0.27173913043478265</v>
      </c>
      <c r="H296" s="11">
        <v>1.5</v>
      </c>
      <c r="I296" s="13">
        <v>0.81944444444444453</v>
      </c>
      <c r="J296" s="13">
        <v>0.8354166666666667</v>
      </c>
      <c r="K296" s="44">
        <f>Table3[[#This Row],[Delivery Time]]-Table3[[#This Row],[Order Time]]</f>
        <v>1.5972222222222165E-2</v>
      </c>
      <c r="L296" s="43">
        <v>23.000000000000004</v>
      </c>
      <c r="M296" s="10" t="s">
        <v>0</v>
      </c>
      <c r="N296" s="14"/>
      <c r="O296" s="14" t="s">
        <v>39</v>
      </c>
      <c r="P296" s="10" t="s">
        <v>20</v>
      </c>
      <c r="Q296" s="10"/>
    </row>
    <row r="297" spans="1:17" x14ac:dyDescent="0.25">
      <c r="A297" s="17">
        <f t="shared" si="16"/>
        <v>296</v>
      </c>
      <c r="B297" s="18">
        <v>43007</v>
      </c>
      <c r="C297" s="18" t="str">
        <f t="shared" si="17"/>
        <v>Friday</v>
      </c>
      <c r="D297" s="10" t="str">
        <f t="shared" si="18"/>
        <v>Same</v>
      </c>
      <c r="E297" s="11">
        <v>29.77</v>
      </c>
      <c r="F297" s="11">
        <v>5</v>
      </c>
      <c r="G297" s="12">
        <f t="shared" si="19"/>
        <v>0.16795431642593214</v>
      </c>
      <c r="H297" s="11">
        <v>1.5</v>
      </c>
      <c r="I297" s="13">
        <v>0.84652777777777777</v>
      </c>
      <c r="J297" s="13">
        <v>0.86319444444444438</v>
      </c>
      <c r="K297" s="44">
        <f>Table3[[#This Row],[Delivery Time]]-Table3[[#This Row],[Order Time]]</f>
        <v>1.6666666666666607E-2</v>
      </c>
      <c r="L297" s="43">
        <v>24</v>
      </c>
      <c r="M297" s="10" t="s">
        <v>11</v>
      </c>
      <c r="N297" s="14"/>
      <c r="O297" s="14" t="s">
        <v>40</v>
      </c>
      <c r="P297" s="10" t="s">
        <v>20</v>
      </c>
      <c r="Q297" s="10"/>
    </row>
    <row r="298" spans="1:17" x14ac:dyDescent="0.25">
      <c r="A298" s="17">
        <f t="shared" si="16"/>
        <v>297</v>
      </c>
      <c r="B298" s="18">
        <v>43008</v>
      </c>
      <c r="C298" s="18" t="str">
        <f t="shared" si="17"/>
        <v>Saturday</v>
      </c>
      <c r="D298" s="10" t="str">
        <f t="shared" si="18"/>
        <v>Different</v>
      </c>
      <c r="E298" s="11">
        <v>31.88</v>
      </c>
      <c r="F298" s="11">
        <v>2</v>
      </c>
      <c r="G298" s="12">
        <f t="shared" si="19"/>
        <v>6.2735257214554585E-2</v>
      </c>
      <c r="H298" s="11">
        <v>1.5</v>
      </c>
      <c r="I298" s="13">
        <v>0.72083333333333333</v>
      </c>
      <c r="J298" s="13">
        <v>0.73819444444444438</v>
      </c>
      <c r="K298" s="44">
        <f>Table3[[#This Row],[Delivery Time]]-Table3[[#This Row],[Order Time]]</f>
        <v>1.7361111111111049E-2</v>
      </c>
      <c r="L298" s="43">
        <v>25</v>
      </c>
      <c r="M298" s="10" t="s">
        <v>0</v>
      </c>
      <c r="N298" s="14"/>
      <c r="O298" s="14" t="s">
        <v>39</v>
      </c>
      <c r="P298" s="10" t="s">
        <v>20</v>
      </c>
      <c r="Q298" s="10"/>
    </row>
    <row r="299" spans="1:17" x14ac:dyDescent="0.25">
      <c r="A299" s="17">
        <f t="shared" si="16"/>
        <v>298</v>
      </c>
      <c r="B299" s="18">
        <v>43008</v>
      </c>
      <c r="C299" s="18" t="str">
        <f t="shared" si="17"/>
        <v>Saturday</v>
      </c>
      <c r="D299" s="10" t="str">
        <f t="shared" si="18"/>
        <v>Same</v>
      </c>
      <c r="E299" s="11">
        <v>24.9</v>
      </c>
      <c r="F299" s="11">
        <v>7</v>
      </c>
      <c r="G299" s="12">
        <f t="shared" si="19"/>
        <v>0.28112449799196787</v>
      </c>
      <c r="H299" s="11">
        <v>1.5</v>
      </c>
      <c r="I299" s="13">
        <v>0.7729166666666667</v>
      </c>
      <c r="J299" s="13">
        <v>0.79513888888888884</v>
      </c>
      <c r="K299" s="44">
        <f>Table3[[#This Row],[Delivery Time]]-Table3[[#This Row],[Order Time]]</f>
        <v>2.2222222222222143E-2</v>
      </c>
      <c r="L299" s="43">
        <v>32</v>
      </c>
      <c r="M299" s="10" t="s">
        <v>11</v>
      </c>
      <c r="N299" s="14"/>
      <c r="O299" s="14" t="s">
        <v>39</v>
      </c>
      <c r="P299" s="10" t="s">
        <v>20</v>
      </c>
      <c r="Q299" s="10"/>
    </row>
    <row r="300" spans="1:17" x14ac:dyDescent="0.25">
      <c r="A300" s="17">
        <f t="shared" si="16"/>
        <v>299</v>
      </c>
      <c r="B300" s="18">
        <v>43008</v>
      </c>
      <c r="C300" s="18" t="str">
        <f t="shared" si="17"/>
        <v>Saturday</v>
      </c>
      <c r="D300" s="10" t="str">
        <f t="shared" si="18"/>
        <v>Same</v>
      </c>
      <c r="E300" s="11">
        <v>31.39</v>
      </c>
      <c r="F300" s="11">
        <v>6</v>
      </c>
      <c r="G300" s="12">
        <f t="shared" si="19"/>
        <v>0.19114367633004142</v>
      </c>
      <c r="H300" s="11">
        <v>1.5</v>
      </c>
      <c r="I300" s="13">
        <v>0.81736111111111109</v>
      </c>
      <c r="J300" s="13">
        <v>0.84305555555555556</v>
      </c>
      <c r="K300" s="44">
        <f>Table3[[#This Row],[Delivery Time]]-Table3[[#This Row],[Order Time]]</f>
        <v>2.5694444444444464E-2</v>
      </c>
      <c r="L300" s="43">
        <v>37</v>
      </c>
      <c r="M300" s="10" t="s">
        <v>0</v>
      </c>
      <c r="N300" s="14"/>
      <c r="O300" s="14" t="s">
        <v>40</v>
      </c>
      <c r="P300" s="10" t="s">
        <v>20</v>
      </c>
      <c r="Q300" s="10"/>
    </row>
    <row r="301" spans="1:17" x14ac:dyDescent="0.25">
      <c r="A301" s="17">
        <f t="shared" si="16"/>
        <v>300</v>
      </c>
      <c r="B301" s="18">
        <v>43008</v>
      </c>
      <c r="C301" s="18" t="str">
        <f t="shared" si="17"/>
        <v>Saturday</v>
      </c>
      <c r="D301" s="10" t="str">
        <f t="shared" si="18"/>
        <v>Same</v>
      </c>
      <c r="E301" s="11">
        <v>28.36</v>
      </c>
      <c r="F301" s="11">
        <v>5</v>
      </c>
      <c r="G301" s="12">
        <f t="shared" si="19"/>
        <v>0.1763046544428773</v>
      </c>
      <c r="H301" s="11">
        <v>1.5</v>
      </c>
      <c r="I301" s="13">
        <v>0.8222222222222223</v>
      </c>
      <c r="J301" s="13">
        <v>0.85763888888888884</v>
      </c>
      <c r="K301" s="44">
        <f>Table3[[#This Row],[Delivery Time]]-Table3[[#This Row],[Order Time]]</f>
        <v>3.5416666666666541E-2</v>
      </c>
      <c r="L301" s="43">
        <v>51</v>
      </c>
      <c r="M301" s="10" t="s">
        <v>11</v>
      </c>
      <c r="N301" s="14"/>
      <c r="O301" s="14" t="s">
        <v>41</v>
      </c>
      <c r="P301" s="10" t="s">
        <v>20</v>
      </c>
      <c r="Q301" s="10"/>
    </row>
    <row r="302" spans="1:17" x14ac:dyDescent="0.25">
      <c r="A302" s="17">
        <f t="shared" si="16"/>
        <v>301</v>
      </c>
      <c r="B302" s="18">
        <v>43009</v>
      </c>
      <c r="C302" s="18" t="str">
        <f t="shared" si="17"/>
        <v>Sunday</v>
      </c>
      <c r="D302" s="10" t="str">
        <f t="shared" si="18"/>
        <v>Different</v>
      </c>
      <c r="E302" s="11">
        <v>74.58</v>
      </c>
      <c r="F302" s="11">
        <v>10</v>
      </c>
      <c r="G302" s="12">
        <f t="shared" si="19"/>
        <v>0.13408420488066505</v>
      </c>
      <c r="H302" s="11">
        <v>5</v>
      </c>
      <c r="I302" s="13">
        <v>0.70000000000000007</v>
      </c>
      <c r="J302" s="13">
        <v>0.72430555555555554</v>
      </c>
      <c r="K302" s="44">
        <f>Table3[[#This Row],[Delivery Time]]-Table3[[#This Row],[Order Time]]</f>
        <v>2.4305555555555469E-2</v>
      </c>
      <c r="L302" s="43">
        <v>35</v>
      </c>
      <c r="M302" s="10" t="s">
        <v>0</v>
      </c>
      <c r="N302" s="14"/>
      <c r="O302" s="14" t="s">
        <v>39</v>
      </c>
      <c r="P302" s="10" t="s">
        <v>20</v>
      </c>
      <c r="Q302" s="10"/>
    </row>
    <row r="303" spans="1:17" x14ac:dyDescent="0.25">
      <c r="A303" s="17">
        <f t="shared" si="16"/>
        <v>302</v>
      </c>
      <c r="B303" s="18">
        <v>43009</v>
      </c>
      <c r="C303" s="18" t="str">
        <f t="shared" si="17"/>
        <v>Sunday</v>
      </c>
      <c r="D303" s="10" t="str">
        <f t="shared" si="18"/>
        <v>Same</v>
      </c>
      <c r="E303" s="11">
        <v>25.66</v>
      </c>
      <c r="F303" s="11">
        <v>5.34</v>
      </c>
      <c r="G303" s="12">
        <f t="shared" si="19"/>
        <v>0.20810600155884645</v>
      </c>
      <c r="H303" s="11">
        <v>1.5</v>
      </c>
      <c r="I303" s="13">
        <v>0.73888888888888893</v>
      </c>
      <c r="J303" s="13">
        <v>0.77083333333333337</v>
      </c>
      <c r="K303" s="44">
        <f>Table3[[#This Row],[Delivery Time]]-Table3[[#This Row],[Order Time]]</f>
        <v>3.1944444444444442E-2</v>
      </c>
      <c r="L303" s="43">
        <v>46.000000000000007</v>
      </c>
      <c r="M303" s="10" t="s">
        <v>0</v>
      </c>
      <c r="N303" s="14"/>
      <c r="O303" s="14" t="s">
        <v>39</v>
      </c>
      <c r="P303" s="10" t="s">
        <v>20</v>
      </c>
      <c r="Q303" s="10"/>
    </row>
    <row r="304" spans="1:17" x14ac:dyDescent="0.25">
      <c r="A304" s="17">
        <f t="shared" si="16"/>
        <v>303</v>
      </c>
      <c r="B304" s="18">
        <v>43009</v>
      </c>
      <c r="C304" s="18" t="str">
        <f t="shared" si="17"/>
        <v>Sunday</v>
      </c>
      <c r="D304" s="10" t="str">
        <f t="shared" si="18"/>
        <v>Same</v>
      </c>
      <c r="E304" s="11">
        <v>25.66</v>
      </c>
      <c r="F304" s="11">
        <v>5</v>
      </c>
      <c r="G304" s="12">
        <f t="shared" si="19"/>
        <v>0.19485580670303976</v>
      </c>
      <c r="H304" s="11">
        <v>1.5</v>
      </c>
      <c r="I304" s="13">
        <v>0.74791666666666667</v>
      </c>
      <c r="J304" s="13">
        <v>0.77638888888888891</v>
      </c>
      <c r="K304" s="44">
        <f>Table3[[#This Row],[Delivery Time]]-Table3[[#This Row],[Order Time]]</f>
        <v>2.8472222222222232E-2</v>
      </c>
      <c r="L304" s="43">
        <v>41</v>
      </c>
      <c r="M304" s="10" t="s">
        <v>0</v>
      </c>
      <c r="N304" s="28" t="s">
        <v>26</v>
      </c>
      <c r="O304" s="14" t="s">
        <v>39</v>
      </c>
      <c r="P304" s="10" t="s">
        <v>20</v>
      </c>
      <c r="Q304" s="10"/>
    </row>
    <row r="305" spans="1:17" x14ac:dyDescent="0.25">
      <c r="A305" s="17">
        <f t="shared" si="16"/>
        <v>304</v>
      </c>
      <c r="B305" s="18">
        <v>43009</v>
      </c>
      <c r="C305" s="18" t="str">
        <f t="shared" si="17"/>
        <v>Sunday</v>
      </c>
      <c r="D305" s="10" t="str">
        <f t="shared" si="18"/>
        <v>Same</v>
      </c>
      <c r="E305" s="11">
        <v>54.13</v>
      </c>
      <c r="F305" s="11">
        <v>5</v>
      </c>
      <c r="G305" s="12">
        <f t="shared" si="19"/>
        <v>9.2370219841123216E-2</v>
      </c>
      <c r="H305" s="11">
        <v>1.5</v>
      </c>
      <c r="I305" s="13">
        <v>0.75138888888888899</v>
      </c>
      <c r="J305" s="13">
        <v>0.78333333333333333</v>
      </c>
      <c r="K305" s="44">
        <f>Table3[[#This Row],[Delivery Time]]-Table3[[#This Row],[Order Time]]</f>
        <v>3.1944444444444331E-2</v>
      </c>
      <c r="L305" s="43">
        <v>46.000000000000007</v>
      </c>
      <c r="M305" s="10" t="s">
        <v>0</v>
      </c>
      <c r="N305" s="14" t="s">
        <v>22</v>
      </c>
      <c r="O305" s="14" t="s">
        <v>39</v>
      </c>
      <c r="P305" s="10" t="s">
        <v>20</v>
      </c>
      <c r="Q305" s="10"/>
    </row>
    <row r="306" spans="1:17" x14ac:dyDescent="0.25">
      <c r="A306" s="17">
        <f t="shared" si="16"/>
        <v>305</v>
      </c>
      <c r="B306" s="18">
        <v>43009</v>
      </c>
      <c r="C306" s="18" t="str">
        <f t="shared" si="17"/>
        <v>Sunday</v>
      </c>
      <c r="D306" s="10" t="str">
        <f t="shared" si="18"/>
        <v>Same</v>
      </c>
      <c r="E306" s="11">
        <v>20.51</v>
      </c>
      <c r="F306" s="11">
        <v>4</v>
      </c>
      <c r="G306" s="12">
        <f t="shared" si="19"/>
        <v>0.19502681618722573</v>
      </c>
      <c r="H306" s="11">
        <v>1.5</v>
      </c>
      <c r="I306" s="13">
        <v>0.78611111111111109</v>
      </c>
      <c r="J306" s="13">
        <v>0.80833333333333324</v>
      </c>
      <c r="K306" s="44">
        <f>Table3[[#This Row],[Delivery Time]]-Table3[[#This Row],[Order Time]]</f>
        <v>2.2222222222222143E-2</v>
      </c>
      <c r="L306" s="43">
        <v>32</v>
      </c>
      <c r="M306" s="10" t="s">
        <v>11</v>
      </c>
      <c r="N306" s="14"/>
      <c r="O306" s="14" t="s">
        <v>41</v>
      </c>
      <c r="P306" s="10" t="s">
        <v>20</v>
      </c>
      <c r="Q306" s="10"/>
    </row>
    <row r="307" spans="1:17" x14ac:dyDescent="0.25">
      <c r="A307" s="17">
        <f t="shared" si="16"/>
        <v>306</v>
      </c>
      <c r="B307" s="18">
        <v>43009</v>
      </c>
      <c r="C307" s="18" t="str">
        <f t="shared" si="17"/>
        <v>Sunday</v>
      </c>
      <c r="D307" s="10" t="str">
        <f t="shared" si="18"/>
        <v>Same</v>
      </c>
      <c r="E307" s="11">
        <v>24.84</v>
      </c>
      <c r="F307" s="11">
        <v>4</v>
      </c>
      <c r="G307" s="12">
        <f t="shared" si="19"/>
        <v>0.1610305958132045</v>
      </c>
      <c r="H307" s="11">
        <v>1.5</v>
      </c>
      <c r="I307" s="13">
        <v>0.8354166666666667</v>
      </c>
      <c r="J307" s="13">
        <v>0.85902777777777783</v>
      </c>
      <c r="K307" s="44">
        <f>Table3[[#This Row],[Delivery Time]]-Table3[[#This Row],[Order Time]]</f>
        <v>2.3611111111111138E-2</v>
      </c>
      <c r="L307" s="43">
        <v>34</v>
      </c>
      <c r="M307" s="10" t="s">
        <v>0</v>
      </c>
      <c r="N307" s="14"/>
      <c r="O307" s="14" t="s">
        <v>41</v>
      </c>
      <c r="P307" s="10" t="s">
        <v>20</v>
      </c>
      <c r="Q307" s="10"/>
    </row>
    <row r="308" spans="1:17" x14ac:dyDescent="0.25">
      <c r="A308" s="17">
        <f t="shared" si="16"/>
        <v>307</v>
      </c>
      <c r="B308" s="18">
        <v>43009</v>
      </c>
      <c r="C308" s="18" t="str">
        <f t="shared" si="17"/>
        <v>Sunday</v>
      </c>
      <c r="D308" s="10" t="str">
        <f t="shared" si="18"/>
        <v>Same</v>
      </c>
      <c r="E308" s="11">
        <v>18.62</v>
      </c>
      <c r="F308" s="11">
        <v>4</v>
      </c>
      <c r="G308" s="12">
        <f t="shared" si="19"/>
        <v>0.21482277121374865</v>
      </c>
      <c r="H308" s="11">
        <v>1.5</v>
      </c>
      <c r="I308" s="13">
        <v>0.83680555555555547</v>
      </c>
      <c r="J308" s="13">
        <v>0.86597222222222225</v>
      </c>
      <c r="K308" s="44">
        <f>Table3[[#This Row],[Delivery Time]]-Table3[[#This Row],[Order Time]]</f>
        <v>2.9166666666666785E-2</v>
      </c>
      <c r="L308" s="43">
        <v>42</v>
      </c>
      <c r="M308" s="10" t="s">
        <v>0</v>
      </c>
      <c r="N308" s="14"/>
      <c r="O308" s="14" t="s">
        <v>39</v>
      </c>
      <c r="P308" s="10" t="s">
        <v>20</v>
      </c>
      <c r="Q308" s="10"/>
    </row>
    <row r="309" spans="1:17" x14ac:dyDescent="0.25">
      <c r="A309" s="17">
        <f t="shared" si="16"/>
        <v>308</v>
      </c>
      <c r="B309" s="18">
        <v>43009</v>
      </c>
      <c r="C309" s="18" t="str">
        <f t="shared" si="17"/>
        <v>Sunday</v>
      </c>
      <c r="D309" s="10" t="str">
        <f t="shared" si="18"/>
        <v>Same</v>
      </c>
      <c r="E309" s="11">
        <v>43.25</v>
      </c>
      <c r="F309" s="11">
        <v>5</v>
      </c>
      <c r="G309" s="12">
        <f t="shared" si="19"/>
        <v>0.11560693641618497</v>
      </c>
      <c r="H309" s="11">
        <v>1.5</v>
      </c>
      <c r="I309" s="13">
        <v>0.89374999999999993</v>
      </c>
      <c r="J309" s="13">
        <v>0.91041666666666676</v>
      </c>
      <c r="K309" s="44">
        <f>Table3[[#This Row],[Delivery Time]]-Table3[[#This Row],[Order Time]]</f>
        <v>1.6666666666666829E-2</v>
      </c>
      <c r="L309" s="43">
        <v>24</v>
      </c>
      <c r="M309" s="10" t="s">
        <v>11</v>
      </c>
      <c r="N309" s="14"/>
      <c r="O309" s="14" t="s">
        <v>41</v>
      </c>
      <c r="P309" s="10" t="s">
        <v>20</v>
      </c>
      <c r="Q309" s="10"/>
    </row>
    <row r="310" spans="1:17" x14ac:dyDescent="0.25">
      <c r="A310" s="17">
        <f t="shared" si="16"/>
        <v>309</v>
      </c>
      <c r="B310" s="18">
        <v>43016</v>
      </c>
      <c r="C310" s="18" t="str">
        <f t="shared" si="17"/>
        <v>Sunday</v>
      </c>
      <c r="D310" s="10" t="str">
        <f t="shared" si="18"/>
        <v>Different</v>
      </c>
      <c r="E310" s="11">
        <v>34.64</v>
      </c>
      <c r="F310" s="11">
        <v>10</v>
      </c>
      <c r="G310" s="12">
        <f t="shared" si="19"/>
        <v>0.28868360277136257</v>
      </c>
      <c r="H310" s="11">
        <v>1.5</v>
      </c>
      <c r="I310" s="13">
        <v>0.68055555555555547</v>
      </c>
      <c r="J310" s="13">
        <v>0.71180555555555547</v>
      </c>
      <c r="K310" s="44">
        <f>Table3[[#This Row],[Delivery Time]]-Table3[[#This Row],[Order Time]]</f>
        <v>3.125E-2</v>
      </c>
      <c r="L310" s="43">
        <v>45</v>
      </c>
      <c r="M310" s="10" t="s">
        <v>0</v>
      </c>
      <c r="N310" s="14"/>
      <c r="O310" s="14" t="s">
        <v>41</v>
      </c>
      <c r="P310" s="10" t="s">
        <v>20</v>
      </c>
      <c r="Q310" s="10"/>
    </row>
    <row r="311" spans="1:17" x14ac:dyDescent="0.25">
      <c r="A311" s="17">
        <f t="shared" si="16"/>
        <v>310</v>
      </c>
      <c r="B311" s="18">
        <v>43016</v>
      </c>
      <c r="C311" s="18" t="str">
        <f t="shared" si="17"/>
        <v>Sunday</v>
      </c>
      <c r="D311" s="10" t="str">
        <f t="shared" si="18"/>
        <v>Same</v>
      </c>
      <c r="E311" s="11">
        <v>43.73</v>
      </c>
      <c r="F311" s="11">
        <v>4</v>
      </c>
      <c r="G311" s="12">
        <f t="shared" si="19"/>
        <v>9.1470386462382813E-2</v>
      </c>
      <c r="H311" s="11">
        <v>1.5</v>
      </c>
      <c r="I311" s="13">
        <v>0.72916666666666663</v>
      </c>
      <c r="J311" s="13">
        <v>0.74444444444444446</v>
      </c>
      <c r="K311" s="44">
        <f>Table3[[#This Row],[Delivery Time]]-Table3[[#This Row],[Order Time]]</f>
        <v>1.5277777777777835E-2</v>
      </c>
      <c r="L311" s="43">
        <v>22</v>
      </c>
      <c r="M311" s="10" t="s">
        <v>0</v>
      </c>
      <c r="N311" s="14"/>
      <c r="O311" s="14" t="s">
        <v>39</v>
      </c>
      <c r="P311" s="10" t="s">
        <v>20</v>
      </c>
      <c r="Q311" s="10"/>
    </row>
    <row r="312" spans="1:17" x14ac:dyDescent="0.25">
      <c r="A312" s="17">
        <f t="shared" si="16"/>
        <v>311</v>
      </c>
      <c r="B312" s="18">
        <v>43016</v>
      </c>
      <c r="C312" s="18" t="str">
        <f t="shared" si="17"/>
        <v>Sunday</v>
      </c>
      <c r="D312" s="10" t="str">
        <f t="shared" si="18"/>
        <v>Same</v>
      </c>
      <c r="E312" s="11">
        <v>29.17</v>
      </c>
      <c r="F312" s="11">
        <v>3</v>
      </c>
      <c r="G312" s="12">
        <f t="shared" si="19"/>
        <v>0.10284538909838875</v>
      </c>
      <c r="H312" s="11">
        <v>1.5</v>
      </c>
      <c r="I312" s="13">
        <v>0.75277777777777777</v>
      </c>
      <c r="J312" s="13">
        <v>0.77500000000000002</v>
      </c>
      <c r="K312" s="44">
        <f>Table3[[#This Row],[Delivery Time]]-Table3[[#This Row],[Order Time]]</f>
        <v>2.2222222222222254E-2</v>
      </c>
      <c r="L312" s="43">
        <v>32</v>
      </c>
      <c r="M312" s="10" t="s">
        <v>11</v>
      </c>
      <c r="N312" s="14"/>
      <c r="O312" s="14" t="s">
        <v>39</v>
      </c>
      <c r="P312" s="10" t="s">
        <v>20</v>
      </c>
      <c r="Q312" s="10"/>
    </row>
    <row r="313" spans="1:17" x14ac:dyDescent="0.25">
      <c r="A313" s="17">
        <f t="shared" si="16"/>
        <v>312</v>
      </c>
      <c r="B313" s="18">
        <v>43016</v>
      </c>
      <c r="C313" s="18" t="str">
        <f t="shared" si="17"/>
        <v>Sunday</v>
      </c>
      <c r="D313" s="10" t="str">
        <f t="shared" si="18"/>
        <v>Same</v>
      </c>
      <c r="E313" s="11">
        <v>32.75</v>
      </c>
      <c r="F313" s="11">
        <v>5</v>
      </c>
      <c r="G313" s="12">
        <f t="shared" si="19"/>
        <v>0.15267175572519084</v>
      </c>
      <c r="H313" s="11">
        <v>1.5</v>
      </c>
      <c r="I313" s="13">
        <v>0.78333333333333333</v>
      </c>
      <c r="J313" s="13">
        <v>0.79722222222222217</v>
      </c>
      <c r="K313" s="44">
        <f>Table3[[#This Row],[Delivery Time]]-Table3[[#This Row],[Order Time]]</f>
        <v>1.388888888888884E-2</v>
      </c>
      <c r="L313" s="43">
        <v>20</v>
      </c>
      <c r="M313" s="10" t="s">
        <v>0</v>
      </c>
      <c r="N313" s="14"/>
      <c r="O313" s="14" t="s">
        <v>39</v>
      </c>
      <c r="P313" s="10" t="s">
        <v>20</v>
      </c>
      <c r="Q313" s="10"/>
    </row>
    <row r="314" spans="1:17" x14ac:dyDescent="0.25">
      <c r="A314" s="17">
        <f t="shared" si="16"/>
        <v>313</v>
      </c>
      <c r="B314" s="18">
        <v>43016</v>
      </c>
      <c r="C314" s="18" t="str">
        <f t="shared" si="17"/>
        <v>Sunday</v>
      </c>
      <c r="D314" s="10" t="str">
        <f t="shared" si="18"/>
        <v>Same</v>
      </c>
      <c r="E314" s="11">
        <v>36.43</v>
      </c>
      <c r="F314" s="11">
        <v>7</v>
      </c>
      <c r="G314" s="12">
        <f t="shared" si="19"/>
        <v>0.19214932747735383</v>
      </c>
      <c r="H314" s="11">
        <v>1.5</v>
      </c>
      <c r="I314" s="13">
        <v>0.79513888888888884</v>
      </c>
      <c r="J314" s="13">
        <v>0.81805555555555554</v>
      </c>
      <c r="K314" s="44">
        <f>Table3[[#This Row],[Delivery Time]]-Table3[[#This Row],[Order Time]]</f>
        <v>2.2916666666666696E-2</v>
      </c>
      <c r="L314" s="43">
        <v>33</v>
      </c>
      <c r="M314" s="10" t="s">
        <v>0</v>
      </c>
      <c r="N314" s="14"/>
      <c r="O314" s="14" t="s">
        <v>39</v>
      </c>
      <c r="P314" s="10" t="s">
        <v>20</v>
      </c>
      <c r="Q314" s="10"/>
    </row>
    <row r="315" spans="1:17" x14ac:dyDescent="0.25">
      <c r="A315" s="17">
        <f t="shared" si="16"/>
        <v>314</v>
      </c>
      <c r="B315" s="18">
        <v>43016</v>
      </c>
      <c r="C315" s="18" t="str">
        <f t="shared" si="17"/>
        <v>Sunday</v>
      </c>
      <c r="D315" s="10" t="str">
        <f t="shared" si="18"/>
        <v>Same</v>
      </c>
      <c r="E315" s="11">
        <v>43.25</v>
      </c>
      <c r="F315" s="11">
        <v>11.75</v>
      </c>
      <c r="G315" s="12">
        <f t="shared" si="19"/>
        <v>0.27167630057803466</v>
      </c>
      <c r="H315" s="11">
        <v>1.5</v>
      </c>
      <c r="I315" s="13">
        <v>0.83194444444444438</v>
      </c>
      <c r="J315" s="13">
        <v>0.85138888888888886</v>
      </c>
      <c r="K315" s="44">
        <f>Table3[[#This Row],[Delivery Time]]-Table3[[#This Row],[Order Time]]</f>
        <v>1.9444444444444486E-2</v>
      </c>
      <c r="L315" s="43">
        <v>28</v>
      </c>
      <c r="M315" s="10" t="s">
        <v>0</v>
      </c>
      <c r="N315" s="14"/>
      <c r="O315" s="14" t="s">
        <v>40</v>
      </c>
      <c r="P315" s="10" t="s">
        <v>20</v>
      </c>
      <c r="Q315" s="10"/>
    </row>
    <row r="316" spans="1:17" x14ac:dyDescent="0.25">
      <c r="A316" s="17">
        <f t="shared" si="16"/>
        <v>315</v>
      </c>
      <c r="B316" s="18">
        <v>43016</v>
      </c>
      <c r="C316" s="18" t="str">
        <f t="shared" si="17"/>
        <v>Sunday</v>
      </c>
      <c r="D316" s="10" t="str">
        <f t="shared" si="18"/>
        <v>Same</v>
      </c>
      <c r="E316" s="11">
        <v>55.69</v>
      </c>
      <c r="F316" s="11">
        <v>8</v>
      </c>
      <c r="G316" s="12">
        <f t="shared" si="19"/>
        <v>0.14365236128568865</v>
      </c>
      <c r="H316" s="11">
        <v>7</v>
      </c>
      <c r="I316" s="13">
        <v>0.82916666666666661</v>
      </c>
      <c r="J316" s="13">
        <v>0.8652777777777777</v>
      </c>
      <c r="K316" s="44">
        <f>Table3[[#This Row],[Delivery Time]]-Table3[[#This Row],[Order Time]]</f>
        <v>3.6111111111111094E-2</v>
      </c>
      <c r="L316" s="43">
        <v>52</v>
      </c>
      <c r="M316" s="10" t="s">
        <v>0</v>
      </c>
      <c r="N316" s="14"/>
      <c r="O316" s="14" t="s">
        <v>39</v>
      </c>
      <c r="P316" s="10" t="s">
        <v>20</v>
      </c>
      <c r="Q316" s="10"/>
    </row>
    <row r="317" spans="1:17" x14ac:dyDescent="0.25">
      <c r="A317" s="17">
        <f t="shared" si="16"/>
        <v>316</v>
      </c>
      <c r="B317" s="18">
        <v>43016</v>
      </c>
      <c r="C317" s="18" t="str">
        <f t="shared" si="17"/>
        <v>Sunday</v>
      </c>
      <c r="D317" s="10" t="str">
        <f t="shared" si="18"/>
        <v>Same</v>
      </c>
      <c r="E317" s="11">
        <v>34.32</v>
      </c>
      <c r="F317" s="11">
        <v>10</v>
      </c>
      <c r="G317" s="12">
        <f t="shared" si="19"/>
        <v>0.29137529137529139</v>
      </c>
      <c r="H317" s="11">
        <v>1.5</v>
      </c>
      <c r="I317" s="13">
        <v>0.87708333333333333</v>
      </c>
      <c r="J317" s="13">
        <v>0.90347222222222223</v>
      </c>
      <c r="K317" s="44">
        <f>Table3[[#This Row],[Delivery Time]]-Table3[[#This Row],[Order Time]]</f>
        <v>2.6388888888888906E-2</v>
      </c>
      <c r="L317" s="43">
        <v>38</v>
      </c>
      <c r="M317" s="10" t="s">
        <v>0</v>
      </c>
      <c r="N317" s="14"/>
      <c r="O317" s="14" t="s">
        <v>39</v>
      </c>
      <c r="P317" s="10" t="s">
        <v>20</v>
      </c>
      <c r="Q317" s="10"/>
    </row>
    <row r="318" spans="1:17" x14ac:dyDescent="0.25">
      <c r="A318" s="17">
        <f t="shared" si="16"/>
        <v>317</v>
      </c>
      <c r="B318" s="18">
        <v>43016</v>
      </c>
      <c r="C318" s="18" t="str">
        <f t="shared" si="17"/>
        <v>Sunday</v>
      </c>
      <c r="D318" s="10" t="str">
        <f t="shared" si="18"/>
        <v>Same</v>
      </c>
      <c r="E318" s="11">
        <v>24.03</v>
      </c>
      <c r="F318" s="11">
        <v>4.97</v>
      </c>
      <c r="G318" s="12">
        <f t="shared" si="19"/>
        <v>0.20682480233042028</v>
      </c>
      <c r="H318" s="11">
        <v>7</v>
      </c>
      <c r="I318" s="13">
        <v>0.8833333333333333</v>
      </c>
      <c r="J318" s="13">
        <v>0.9159722222222223</v>
      </c>
      <c r="K318" s="44">
        <f>Table3[[#This Row],[Delivery Time]]-Table3[[#This Row],[Order Time]]</f>
        <v>3.2638888888888995E-2</v>
      </c>
      <c r="L318" s="43">
        <v>47.000000000000007</v>
      </c>
      <c r="M318" s="10" t="s">
        <v>0</v>
      </c>
      <c r="N318" s="14"/>
      <c r="O318" s="14" t="s">
        <v>39</v>
      </c>
      <c r="P318" s="10" t="s">
        <v>20</v>
      </c>
      <c r="Q318" s="10"/>
    </row>
    <row r="319" spans="1:17" x14ac:dyDescent="0.25">
      <c r="A319" s="17">
        <f t="shared" si="16"/>
        <v>318</v>
      </c>
      <c r="B319" s="18">
        <v>43016</v>
      </c>
      <c r="C319" s="18" t="str">
        <f t="shared" si="17"/>
        <v>Sunday</v>
      </c>
      <c r="D319" s="10" t="str">
        <f t="shared" si="18"/>
        <v>Same</v>
      </c>
      <c r="E319" s="11">
        <v>36.159999999999997</v>
      </c>
      <c r="F319" s="11">
        <v>5.84</v>
      </c>
      <c r="G319" s="12">
        <f t="shared" si="19"/>
        <v>0.16150442477876106</v>
      </c>
      <c r="H319" s="11">
        <v>1.5</v>
      </c>
      <c r="I319" s="13">
        <v>0.90763888888888899</v>
      </c>
      <c r="J319" s="13">
        <v>0.94305555555555554</v>
      </c>
      <c r="K319" s="44">
        <f>Table3[[#This Row],[Delivery Time]]-Table3[[#This Row],[Order Time]]</f>
        <v>3.5416666666666541E-2</v>
      </c>
      <c r="L319" s="43">
        <v>51</v>
      </c>
      <c r="M319" s="10" t="s">
        <v>11</v>
      </c>
      <c r="N319" s="14"/>
      <c r="O319" s="14" t="s">
        <v>39</v>
      </c>
      <c r="P319" s="10" t="s">
        <v>20</v>
      </c>
      <c r="Q319" s="10"/>
    </row>
    <row r="320" spans="1:17" x14ac:dyDescent="0.25">
      <c r="A320" s="23">
        <f t="shared" si="16"/>
        <v>319</v>
      </c>
      <c r="B320" s="24">
        <v>43021</v>
      </c>
      <c r="C320" s="18" t="str">
        <f t="shared" si="17"/>
        <v>Friday</v>
      </c>
      <c r="D320" s="10" t="str">
        <f t="shared" si="18"/>
        <v>Different</v>
      </c>
      <c r="E320" s="2">
        <v>19.43</v>
      </c>
      <c r="F320" s="2">
        <v>6</v>
      </c>
      <c r="G320" s="1">
        <f t="shared" si="19"/>
        <v>0.30880082346886256</v>
      </c>
      <c r="H320" s="2">
        <v>1.5</v>
      </c>
      <c r="I320" s="26">
        <v>0.73055555555555562</v>
      </c>
      <c r="J320" s="26">
        <v>0.74930555555555556</v>
      </c>
      <c r="K320" s="27">
        <f>Table3[[#This Row],[Delivery Time]]-Table3[[#This Row],[Order Time]]</f>
        <v>1.8749999999999933E-2</v>
      </c>
      <c r="L320" s="43">
        <v>26.999999999999996</v>
      </c>
      <c r="M320" s="25" t="s">
        <v>0</v>
      </c>
      <c r="N320" s="28"/>
      <c r="O320" s="28" t="s">
        <v>39</v>
      </c>
      <c r="P320" s="25" t="s">
        <v>20</v>
      </c>
      <c r="Q320" s="25"/>
    </row>
    <row r="321" spans="1:17" x14ac:dyDescent="0.25">
      <c r="A321" s="23">
        <f t="shared" si="16"/>
        <v>320</v>
      </c>
      <c r="B321" s="24">
        <v>43021</v>
      </c>
      <c r="C321" s="18" t="str">
        <f t="shared" si="17"/>
        <v>Friday</v>
      </c>
      <c r="D321" s="10" t="str">
        <f t="shared" si="18"/>
        <v>Same</v>
      </c>
      <c r="E321" s="2">
        <v>32.75</v>
      </c>
      <c r="F321" s="2">
        <v>5</v>
      </c>
      <c r="G321" s="1">
        <f t="shared" si="19"/>
        <v>0.15267175572519084</v>
      </c>
      <c r="H321" s="2">
        <v>1.5</v>
      </c>
      <c r="I321" s="26">
        <v>0.76111111111111107</v>
      </c>
      <c r="J321" s="26">
        <v>0.78472222222222221</v>
      </c>
      <c r="K321" s="27">
        <f>Table3[[#This Row],[Delivery Time]]-Table3[[#This Row],[Order Time]]</f>
        <v>2.3611111111111138E-2</v>
      </c>
      <c r="L321" s="43">
        <v>34</v>
      </c>
      <c r="M321" s="25" t="s">
        <v>0</v>
      </c>
      <c r="N321" s="28"/>
      <c r="O321" s="28" t="s">
        <v>39</v>
      </c>
      <c r="P321" s="25" t="s">
        <v>20</v>
      </c>
      <c r="Q321" s="25"/>
    </row>
    <row r="322" spans="1:17" x14ac:dyDescent="0.25">
      <c r="A322" s="23">
        <f t="shared" si="16"/>
        <v>321</v>
      </c>
      <c r="B322" s="24">
        <v>43021</v>
      </c>
      <c r="C322" s="18" t="str">
        <f t="shared" si="17"/>
        <v>Friday</v>
      </c>
      <c r="D322" s="10" t="str">
        <f t="shared" si="18"/>
        <v>Same</v>
      </c>
      <c r="E322" s="2">
        <v>40.54</v>
      </c>
      <c r="F322" s="2">
        <v>5</v>
      </c>
      <c r="G322" s="1">
        <f t="shared" si="19"/>
        <v>0.123334977799704</v>
      </c>
      <c r="H322" s="2">
        <v>1.5</v>
      </c>
      <c r="I322" s="26">
        <v>0.76527777777777783</v>
      </c>
      <c r="J322" s="26">
        <v>0.79166666666666663</v>
      </c>
      <c r="K322" s="27">
        <f>Table3[[#This Row],[Delivery Time]]-Table3[[#This Row],[Order Time]]</f>
        <v>2.6388888888888795E-2</v>
      </c>
      <c r="L322" s="43">
        <v>38</v>
      </c>
      <c r="M322" s="25" t="s">
        <v>0</v>
      </c>
      <c r="N322" s="28"/>
      <c r="O322" s="28" t="s">
        <v>39</v>
      </c>
      <c r="P322" s="25" t="s">
        <v>20</v>
      </c>
      <c r="Q322" s="25"/>
    </row>
    <row r="323" spans="1:17" x14ac:dyDescent="0.25">
      <c r="A323" s="23">
        <f t="shared" si="16"/>
        <v>322</v>
      </c>
      <c r="B323" s="24">
        <v>43021</v>
      </c>
      <c r="C323" s="18" t="str">
        <f t="shared" si="17"/>
        <v>Friday</v>
      </c>
      <c r="D323" s="10" t="str">
        <f t="shared" si="18"/>
        <v>Same</v>
      </c>
      <c r="E323" s="2">
        <v>64.84</v>
      </c>
      <c r="F323" s="2">
        <v>12</v>
      </c>
      <c r="G323" s="1">
        <f t="shared" si="19"/>
        <v>0.18507094386181369</v>
      </c>
      <c r="H323" s="2">
        <v>1.5</v>
      </c>
      <c r="I323" s="26">
        <v>0.76666666666666661</v>
      </c>
      <c r="J323" s="26">
        <v>0.80347222222222225</v>
      </c>
      <c r="K323" s="27">
        <f>Table3[[#This Row],[Delivery Time]]-Table3[[#This Row],[Order Time]]</f>
        <v>3.6805555555555647E-2</v>
      </c>
      <c r="L323" s="43">
        <v>53</v>
      </c>
      <c r="M323" s="25" t="s">
        <v>0</v>
      </c>
      <c r="N323" s="28" t="s">
        <v>22</v>
      </c>
      <c r="O323" s="28" t="s">
        <v>39</v>
      </c>
      <c r="P323" s="25" t="s">
        <v>20</v>
      </c>
      <c r="Q323" s="25"/>
    </row>
    <row r="324" spans="1:17" x14ac:dyDescent="0.25">
      <c r="A324" s="23">
        <f t="shared" si="16"/>
        <v>323</v>
      </c>
      <c r="B324" s="24">
        <v>43021</v>
      </c>
      <c r="C324" s="18" t="str">
        <f t="shared" si="17"/>
        <v>Friday</v>
      </c>
      <c r="D324" s="10" t="str">
        <f t="shared" si="18"/>
        <v>Same</v>
      </c>
      <c r="E324" s="2">
        <v>109.87</v>
      </c>
      <c r="F324" s="2">
        <v>10.130000000000001</v>
      </c>
      <c r="G324" s="1">
        <f t="shared" si="19"/>
        <v>9.2199872576681538E-2</v>
      </c>
      <c r="H324" s="2">
        <v>5</v>
      </c>
      <c r="I324" s="26">
        <v>0.7597222222222223</v>
      </c>
      <c r="J324" s="26">
        <v>0.8125</v>
      </c>
      <c r="K324" s="27">
        <f>Table3[[#This Row],[Delivery Time]]-Table3[[#This Row],[Order Time]]</f>
        <v>5.2777777777777701E-2</v>
      </c>
      <c r="L324" s="43">
        <v>76</v>
      </c>
      <c r="M324" s="25" t="s">
        <v>0</v>
      </c>
      <c r="N324" s="28"/>
      <c r="O324" s="28" t="s">
        <v>39</v>
      </c>
      <c r="P324" s="25" t="s">
        <v>20</v>
      </c>
      <c r="Q324" s="25"/>
    </row>
    <row r="325" spans="1:17" x14ac:dyDescent="0.25">
      <c r="A325" s="23">
        <f t="shared" si="16"/>
        <v>324</v>
      </c>
      <c r="B325" s="24">
        <v>43021</v>
      </c>
      <c r="C325" s="18" t="str">
        <f t="shared" si="17"/>
        <v>Friday</v>
      </c>
      <c r="D325" s="10" t="str">
        <f t="shared" si="18"/>
        <v>Same</v>
      </c>
      <c r="E325" s="2">
        <v>37.83</v>
      </c>
      <c r="F325" s="2">
        <v>5</v>
      </c>
      <c r="G325" s="1">
        <f t="shared" si="19"/>
        <v>0.13217023526301877</v>
      </c>
      <c r="H325" s="2">
        <v>1.5</v>
      </c>
      <c r="I325" s="26">
        <v>0.81180555555555556</v>
      </c>
      <c r="J325" s="26">
        <v>0.84166666666666667</v>
      </c>
      <c r="K325" s="27">
        <f>Table3[[#This Row],[Delivery Time]]-Table3[[#This Row],[Order Time]]</f>
        <v>2.9861111111111116E-2</v>
      </c>
      <c r="L325" s="43">
        <v>43</v>
      </c>
      <c r="M325" s="25" t="s">
        <v>11</v>
      </c>
      <c r="N325" s="28"/>
      <c r="O325" s="28" t="s">
        <v>39</v>
      </c>
      <c r="P325" s="25" t="s">
        <v>20</v>
      </c>
      <c r="Q325" s="25"/>
    </row>
    <row r="326" spans="1:17" x14ac:dyDescent="0.25">
      <c r="A326" s="23">
        <f t="shared" ref="A326:A389" si="20">ROW(A325)</f>
        <v>325</v>
      </c>
      <c r="B326" s="24">
        <v>43021</v>
      </c>
      <c r="C326" s="18" t="str">
        <f t="shared" ref="C326:C389" si="21">TEXT(B326,"dddd")</f>
        <v>Friday</v>
      </c>
      <c r="D326" s="10" t="str">
        <f t="shared" ref="D326:D389" si="22">IF(B325=B326, "Same", "Different")</f>
        <v>Same</v>
      </c>
      <c r="E326" s="2">
        <v>19.489999999999998</v>
      </c>
      <c r="F326" s="2">
        <v>10.51</v>
      </c>
      <c r="G326" s="1">
        <f t="shared" ref="G326:G389" si="23">F326/E326</f>
        <v>0.53925089789635716</v>
      </c>
      <c r="H326" s="2">
        <v>1.5</v>
      </c>
      <c r="I326" s="26">
        <v>0.85</v>
      </c>
      <c r="J326" s="26">
        <v>0.86041666666666661</v>
      </c>
      <c r="K326" s="27">
        <f>Table3[[#This Row],[Delivery Time]]-Table3[[#This Row],[Order Time]]</f>
        <v>1.041666666666663E-2</v>
      </c>
      <c r="L326" s="43">
        <v>15</v>
      </c>
      <c r="M326" s="25" t="s">
        <v>0</v>
      </c>
      <c r="N326" s="28"/>
      <c r="O326" s="28" t="s">
        <v>39</v>
      </c>
      <c r="P326" s="25" t="s">
        <v>20</v>
      </c>
      <c r="Q326" s="25"/>
    </row>
    <row r="327" spans="1:17" x14ac:dyDescent="0.25">
      <c r="A327" s="23">
        <f t="shared" si="20"/>
        <v>326</v>
      </c>
      <c r="B327" s="24">
        <v>43021</v>
      </c>
      <c r="C327" s="18" t="str">
        <f t="shared" si="21"/>
        <v>Friday</v>
      </c>
      <c r="D327" s="10" t="str">
        <f t="shared" si="22"/>
        <v>Same</v>
      </c>
      <c r="E327" s="2">
        <v>46.71</v>
      </c>
      <c r="F327" s="2">
        <v>8</v>
      </c>
      <c r="G327" s="1">
        <f t="shared" si="23"/>
        <v>0.17126953543138515</v>
      </c>
      <c r="H327" s="2">
        <v>1.5</v>
      </c>
      <c r="I327" s="26">
        <v>0.83819444444444446</v>
      </c>
      <c r="J327" s="26">
        <v>0.8666666666666667</v>
      </c>
      <c r="K327" s="27">
        <f>Table3[[#This Row],[Delivery Time]]-Table3[[#This Row],[Order Time]]</f>
        <v>2.8472222222222232E-2</v>
      </c>
      <c r="L327" s="43">
        <v>41</v>
      </c>
      <c r="M327" s="25" t="s">
        <v>0</v>
      </c>
      <c r="N327" s="28" t="s">
        <v>24</v>
      </c>
      <c r="O327" s="28" t="s">
        <v>39</v>
      </c>
      <c r="P327" s="25" t="s">
        <v>20</v>
      </c>
      <c r="Q327" s="25"/>
    </row>
    <row r="328" spans="1:17" x14ac:dyDescent="0.25">
      <c r="A328" s="23">
        <f t="shared" si="20"/>
        <v>327</v>
      </c>
      <c r="B328" s="24">
        <v>43021</v>
      </c>
      <c r="C328" s="18" t="str">
        <f t="shared" si="21"/>
        <v>Friday</v>
      </c>
      <c r="D328" s="10" t="str">
        <f t="shared" si="22"/>
        <v>Same</v>
      </c>
      <c r="E328" s="2">
        <v>23.76</v>
      </c>
      <c r="F328" s="2">
        <v>20</v>
      </c>
      <c r="G328" s="1">
        <f t="shared" si="23"/>
        <v>0.84175084175084169</v>
      </c>
      <c r="H328" s="2">
        <v>5</v>
      </c>
      <c r="I328" s="26">
        <v>0.83472222222222225</v>
      </c>
      <c r="J328" s="26">
        <v>0.87916666666666676</v>
      </c>
      <c r="K328" s="27">
        <f>Table3[[#This Row],[Delivery Time]]-Table3[[#This Row],[Order Time]]</f>
        <v>4.4444444444444509E-2</v>
      </c>
      <c r="L328" s="43">
        <v>64</v>
      </c>
      <c r="M328" s="25" t="s">
        <v>0</v>
      </c>
      <c r="N328" s="28"/>
      <c r="O328" s="28" t="s">
        <v>39</v>
      </c>
      <c r="P328" s="25" t="s">
        <v>20</v>
      </c>
      <c r="Q328" s="25"/>
    </row>
    <row r="329" spans="1:17" x14ac:dyDescent="0.25">
      <c r="A329" s="23">
        <f t="shared" si="20"/>
        <v>328</v>
      </c>
      <c r="B329" s="24">
        <v>43022</v>
      </c>
      <c r="C329" s="18" t="str">
        <f t="shared" si="21"/>
        <v>Saturday</v>
      </c>
      <c r="D329" s="10" t="str">
        <f t="shared" si="22"/>
        <v>Different</v>
      </c>
      <c r="E329" s="2">
        <v>203.15</v>
      </c>
      <c r="F329" s="2">
        <v>25</v>
      </c>
      <c r="G329" s="1">
        <f t="shared" si="23"/>
        <v>0.12306177701206004</v>
      </c>
      <c r="H329" s="2">
        <v>7</v>
      </c>
      <c r="I329" s="26">
        <v>0.74444444444444446</v>
      </c>
      <c r="J329" s="26">
        <v>0.77083333333333337</v>
      </c>
      <c r="K329" s="27">
        <f>Table3[[#This Row],[Delivery Time]]-Table3[[#This Row],[Order Time]]</f>
        <v>2.6388888888888906E-2</v>
      </c>
      <c r="L329" s="43">
        <v>38</v>
      </c>
      <c r="M329" s="25" t="s">
        <v>0</v>
      </c>
      <c r="N329" s="28"/>
      <c r="O329" s="28" t="s">
        <v>39</v>
      </c>
      <c r="P329" s="25" t="s">
        <v>20</v>
      </c>
      <c r="Q329" s="25"/>
    </row>
    <row r="330" spans="1:17" x14ac:dyDescent="0.25">
      <c r="A330" s="23">
        <f t="shared" si="20"/>
        <v>329</v>
      </c>
      <c r="B330" s="24">
        <v>43022</v>
      </c>
      <c r="C330" s="18" t="str">
        <f t="shared" si="21"/>
        <v>Saturday</v>
      </c>
      <c r="D330" s="10" t="str">
        <f t="shared" si="22"/>
        <v>Same</v>
      </c>
      <c r="E330" s="2">
        <v>28.09</v>
      </c>
      <c r="F330" s="2">
        <v>10</v>
      </c>
      <c r="G330" s="1">
        <f t="shared" si="23"/>
        <v>0.35599857600569595</v>
      </c>
      <c r="H330" s="2">
        <v>1.5</v>
      </c>
      <c r="I330" s="26">
        <v>0.7909722222222223</v>
      </c>
      <c r="J330" s="26">
        <v>0.82152777777777775</v>
      </c>
      <c r="K330" s="27">
        <f>Table3[[#This Row],[Delivery Time]]-Table3[[#This Row],[Order Time]]</f>
        <v>3.0555555555555447E-2</v>
      </c>
      <c r="L330" s="43">
        <v>44</v>
      </c>
      <c r="M330" s="25" t="s">
        <v>11</v>
      </c>
      <c r="N330" s="28"/>
      <c r="O330" s="28" t="s">
        <v>39</v>
      </c>
      <c r="P330" s="25" t="s">
        <v>20</v>
      </c>
      <c r="Q330" s="25"/>
    </row>
    <row r="331" spans="1:17" x14ac:dyDescent="0.25">
      <c r="A331" s="23">
        <f t="shared" si="20"/>
        <v>330</v>
      </c>
      <c r="B331" s="24">
        <v>43022</v>
      </c>
      <c r="C331" s="18" t="str">
        <f t="shared" si="21"/>
        <v>Saturday</v>
      </c>
      <c r="D331" s="10" t="str">
        <f t="shared" si="22"/>
        <v>Same</v>
      </c>
      <c r="E331" s="2">
        <v>43.52</v>
      </c>
      <c r="F331" s="2">
        <v>8</v>
      </c>
      <c r="G331" s="1">
        <f t="shared" si="23"/>
        <v>0.18382352941176469</v>
      </c>
      <c r="H331" s="2">
        <v>1.5</v>
      </c>
      <c r="I331" s="26">
        <v>0.82500000000000007</v>
      </c>
      <c r="J331" s="26">
        <v>0.85</v>
      </c>
      <c r="K331" s="27">
        <f>Table3[[#This Row],[Delivery Time]]-Table3[[#This Row],[Order Time]]</f>
        <v>2.4999999999999911E-2</v>
      </c>
      <c r="L331" s="43">
        <v>36</v>
      </c>
      <c r="M331" s="25" t="s">
        <v>0</v>
      </c>
      <c r="N331" s="28" t="s">
        <v>25</v>
      </c>
      <c r="O331" s="28" t="s">
        <v>39</v>
      </c>
      <c r="P331" s="25" t="s">
        <v>20</v>
      </c>
      <c r="Q331" s="25"/>
    </row>
    <row r="332" spans="1:17" x14ac:dyDescent="0.25">
      <c r="A332" s="23">
        <f t="shared" si="20"/>
        <v>331</v>
      </c>
      <c r="B332" s="24">
        <v>43022</v>
      </c>
      <c r="C332" s="18" t="str">
        <f t="shared" si="21"/>
        <v>Saturday</v>
      </c>
      <c r="D332" s="10" t="str">
        <f t="shared" si="22"/>
        <v>Same</v>
      </c>
      <c r="E332" s="2">
        <v>65.44</v>
      </c>
      <c r="F332" s="2">
        <v>6.56</v>
      </c>
      <c r="G332" s="1">
        <f t="shared" si="23"/>
        <v>0.10024449877750612</v>
      </c>
      <c r="H332" s="2">
        <v>5</v>
      </c>
      <c r="I332" s="26">
        <v>0.81736111111111109</v>
      </c>
      <c r="J332" s="26">
        <v>0.85972222222222217</v>
      </c>
      <c r="K332" s="27">
        <f>Table3[[#This Row],[Delivery Time]]-Table3[[#This Row],[Order Time]]</f>
        <v>4.2361111111111072E-2</v>
      </c>
      <c r="L332" s="43">
        <v>61</v>
      </c>
      <c r="M332" s="25" t="s">
        <v>0</v>
      </c>
      <c r="N332" s="28"/>
      <c r="O332" s="28" t="s">
        <v>39</v>
      </c>
      <c r="P332" s="25" t="s">
        <v>20</v>
      </c>
      <c r="Q332" s="25"/>
    </row>
    <row r="333" spans="1:17" x14ac:dyDescent="0.25">
      <c r="A333" s="23">
        <f t="shared" si="20"/>
        <v>332</v>
      </c>
      <c r="B333" s="24">
        <v>43022</v>
      </c>
      <c r="C333" s="18" t="str">
        <f t="shared" si="21"/>
        <v>Saturday</v>
      </c>
      <c r="D333" s="10" t="str">
        <f t="shared" si="22"/>
        <v>Same</v>
      </c>
      <c r="E333" s="2">
        <v>59.16</v>
      </c>
      <c r="F333" s="2">
        <v>8</v>
      </c>
      <c r="G333" s="1">
        <f t="shared" si="23"/>
        <v>0.13522650439486139</v>
      </c>
      <c r="H333" s="2">
        <v>1.5</v>
      </c>
      <c r="I333" s="26">
        <v>0.8305555555555556</v>
      </c>
      <c r="J333" s="26">
        <v>0.87083333333333324</v>
      </c>
      <c r="K333" s="27">
        <f>Table3[[#This Row],[Delivery Time]]-Table3[[#This Row],[Order Time]]</f>
        <v>4.0277777777777635E-2</v>
      </c>
      <c r="L333" s="43">
        <v>58.000000000000007</v>
      </c>
      <c r="M333" s="25" t="s">
        <v>0</v>
      </c>
      <c r="N333" s="28"/>
      <c r="O333" s="28" t="s">
        <v>41</v>
      </c>
      <c r="P333" s="25" t="s">
        <v>20</v>
      </c>
      <c r="Q333" s="25"/>
    </row>
    <row r="334" spans="1:17" x14ac:dyDescent="0.25">
      <c r="A334" s="23">
        <f t="shared" si="20"/>
        <v>333</v>
      </c>
      <c r="B334" s="24">
        <v>43022</v>
      </c>
      <c r="C334" s="18" t="str">
        <f t="shared" si="21"/>
        <v>Saturday</v>
      </c>
      <c r="D334" s="10" t="str">
        <f t="shared" si="22"/>
        <v>Same</v>
      </c>
      <c r="E334" s="2">
        <v>28.9</v>
      </c>
      <c r="F334" s="2">
        <v>5.0999999999999996</v>
      </c>
      <c r="G334" s="1">
        <f t="shared" si="23"/>
        <v>0.1764705882352941</v>
      </c>
      <c r="H334" s="2">
        <v>1.5</v>
      </c>
      <c r="I334" s="26">
        <v>0.8965277777777777</v>
      </c>
      <c r="J334" s="26">
        <v>0.91180555555555554</v>
      </c>
      <c r="K334" s="27">
        <f>Table3[[#This Row],[Delivery Time]]-Table3[[#This Row],[Order Time]]</f>
        <v>1.5277777777777835E-2</v>
      </c>
      <c r="L334" s="43">
        <v>22</v>
      </c>
      <c r="M334" s="25" t="s">
        <v>0</v>
      </c>
      <c r="N334" s="28"/>
      <c r="O334" s="28" t="s">
        <v>40</v>
      </c>
      <c r="P334" s="25" t="s">
        <v>20</v>
      </c>
      <c r="Q334" s="25"/>
    </row>
    <row r="335" spans="1:17" x14ac:dyDescent="0.25">
      <c r="A335" s="23">
        <f t="shared" si="20"/>
        <v>334</v>
      </c>
      <c r="B335" s="24">
        <v>43023</v>
      </c>
      <c r="C335" s="18" t="str">
        <f t="shared" si="21"/>
        <v>Sunday</v>
      </c>
      <c r="D335" s="10" t="str">
        <f t="shared" si="22"/>
        <v>Different</v>
      </c>
      <c r="E335" s="2">
        <v>22.41</v>
      </c>
      <c r="F335" s="2">
        <v>3</v>
      </c>
      <c r="G335" s="1">
        <f t="shared" si="23"/>
        <v>0.13386880856760375</v>
      </c>
      <c r="H335" s="2">
        <v>5</v>
      </c>
      <c r="I335" s="26">
        <v>0.68402777777777779</v>
      </c>
      <c r="J335" s="26">
        <v>0.70833333333333337</v>
      </c>
      <c r="K335" s="27">
        <f>Table3[[#This Row],[Delivery Time]]-Table3[[#This Row],[Order Time]]</f>
        <v>2.430555555555558E-2</v>
      </c>
      <c r="L335" s="43">
        <v>35</v>
      </c>
      <c r="M335" s="25" t="s">
        <v>11</v>
      </c>
      <c r="N335" s="28"/>
      <c r="O335" s="28" t="s">
        <v>41</v>
      </c>
      <c r="P335" s="25" t="s">
        <v>20</v>
      </c>
      <c r="Q335" s="25"/>
    </row>
    <row r="336" spans="1:17" x14ac:dyDescent="0.25">
      <c r="A336" s="23">
        <f t="shared" si="20"/>
        <v>335</v>
      </c>
      <c r="B336" s="24">
        <v>43023</v>
      </c>
      <c r="C336" s="18" t="str">
        <f t="shared" si="21"/>
        <v>Sunday</v>
      </c>
      <c r="D336" s="10" t="str">
        <f t="shared" si="22"/>
        <v>Same</v>
      </c>
      <c r="E336" s="2">
        <v>34.64</v>
      </c>
      <c r="F336" s="2">
        <v>4</v>
      </c>
      <c r="G336" s="1">
        <f t="shared" si="23"/>
        <v>0.11547344110854503</v>
      </c>
      <c r="H336" s="2">
        <v>1.5</v>
      </c>
      <c r="I336" s="26">
        <v>0.7368055555555556</v>
      </c>
      <c r="J336" s="26">
        <v>0.76041666666666663</v>
      </c>
      <c r="K336" s="27">
        <f>Table3[[#This Row],[Delivery Time]]-Table3[[#This Row],[Order Time]]</f>
        <v>2.3611111111111027E-2</v>
      </c>
      <c r="L336" s="43">
        <v>34</v>
      </c>
      <c r="M336" s="25" t="s">
        <v>0</v>
      </c>
      <c r="N336" s="28"/>
      <c r="O336" s="28" t="s">
        <v>39</v>
      </c>
      <c r="P336" s="25" t="s">
        <v>20</v>
      </c>
      <c r="Q336" s="25"/>
    </row>
    <row r="337" spans="1:17" x14ac:dyDescent="0.25">
      <c r="A337" s="23">
        <f t="shared" si="20"/>
        <v>336</v>
      </c>
      <c r="B337" s="24">
        <v>43023</v>
      </c>
      <c r="C337" s="18" t="str">
        <f t="shared" si="21"/>
        <v>Sunday</v>
      </c>
      <c r="D337" s="10" t="str">
        <f t="shared" si="22"/>
        <v>Same</v>
      </c>
      <c r="E337" s="2">
        <v>29.23</v>
      </c>
      <c r="F337" s="2">
        <v>3</v>
      </c>
      <c r="G337" s="1">
        <f t="shared" si="23"/>
        <v>0.10263427984946973</v>
      </c>
      <c r="H337" s="2">
        <v>1.5</v>
      </c>
      <c r="I337" s="26">
        <v>0.73819444444444438</v>
      </c>
      <c r="J337" s="26">
        <v>0.76527777777777783</v>
      </c>
      <c r="K337" s="27">
        <f>Table3[[#This Row],[Delivery Time]]-Table3[[#This Row],[Order Time]]</f>
        <v>2.7083333333333459E-2</v>
      </c>
      <c r="L337" s="43">
        <v>39</v>
      </c>
      <c r="M337" s="25" t="s">
        <v>0</v>
      </c>
      <c r="N337" s="28"/>
      <c r="O337" s="28" t="s">
        <v>41</v>
      </c>
      <c r="P337" s="25" t="s">
        <v>20</v>
      </c>
      <c r="Q337" s="25"/>
    </row>
    <row r="338" spans="1:17" x14ac:dyDescent="0.25">
      <c r="A338" s="23">
        <f t="shared" si="20"/>
        <v>337</v>
      </c>
      <c r="B338" s="24">
        <v>43023</v>
      </c>
      <c r="C338" s="18" t="str">
        <f t="shared" si="21"/>
        <v>Sunday</v>
      </c>
      <c r="D338" s="10" t="str">
        <f t="shared" si="22"/>
        <v>Same</v>
      </c>
      <c r="E338" s="2">
        <v>80.97</v>
      </c>
      <c r="F338" s="2">
        <v>7</v>
      </c>
      <c r="G338" s="1">
        <f t="shared" si="23"/>
        <v>8.6451772261331356E-2</v>
      </c>
      <c r="H338" s="2">
        <v>5</v>
      </c>
      <c r="I338" s="26">
        <v>0.73958333333333337</v>
      </c>
      <c r="J338" s="26">
        <v>0.77222222222222225</v>
      </c>
      <c r="K338" s="27">
        <f>Table3[[#This Row],[Delivery Time]]-Table3[[#This Row],[Order Time]]</f>
        <v>3.2638888888888884E-2</v>
      </c>
      <c r="L338" s="43">
        <v>47.000000000000007</v>
      </c>
      <c r="M338" s="25" t="s">
        <v>0</v>
      </c>
      <c r="N338" s="28"/>
      <c r="O338" s="28" t="s">
        <v>39</v>
      </c>
      <c r="P338" s="25" t="s">
        <v>20</v>
      </c>
      <c r="Q338" s="25"/>
    </row>
    <row r="339" spans="1:17" x14ac:dyDescent="0.25">
      <c r="A339" s="23">
        <f t="shared" si="20"/>
        <v>338</v>
      </c>
      <c r="B339" s="24">
        <v>43023</v>
      </c>
      <c r="C339" s="18" t="str">
        <f t="shared" si="21"/>
        <v>Sunday</v>
      </c>
      <c r="D339" s="10" t="str">
        <f t="shared" si="22"/>
        <v>Same</v>
      </c>
      <c r="E339" s="2">
        <v>44.38</v>
      </c>
      <c r="F339" s="2">
        <v>10</v>
      </c>
      <c r="G339" s="1">
        <f t="shared" si="23"/>
        <v>0.22532672374943666</v>
      </c>
      <c r="H339" s="2">
        <v>1.5</v>
      </c>
      <c r="I339" s="26">
        <v>0.7680555555555556</v>
      </c>
      <c r="J339" s="26">
        <v>0.79999999999999993</v>
      </c>
      <c r="K339" s="27">
        <f>Table3[[#This Row],[Delivery Time]]-Table3[[#This Row],[Order Time]]</f>
        <v>3.1944444444444331E-2</v>
      </c>
      <c r="L339" s="43">
        <v>46.000000000000007</v>
      </c>
      <c r="M339" s="25" t="s">
        <v>0</v>
      </c>
      <c r="N339" s="28"/>
      <c r="O339" s="28" t="s">
        <v>39</v>
      </c>
      <c r="P339" s="25" t="s">
        <v>20</v>
      </c>
      <c r="Q339" s="25"/>
    </row>
    <row r="340" spans="1:17" x14ac:dyDescent="0.25">
      <c r="A340" s="23">
        <f t="shared" si="20"/>
        <v>339</v>
      </c>
      <c r="B340" s="24">
        <v>43023</v>
      </c>
      <c r="C340" s="18" t="str">
        <f t="shared" si="21"/>
        <v>Sunday</v>
      </c>
      <c r="D340" s="10" t="str">
        <f t="shared" si="22"/>
        <v>Same</v>
      </c>
      <c r="E340" s="2">
        <v>33.229999999999997</v>
      </c>
      <c r="F340" s="2">
        <v>5</v>
      </c>
      <c r="G340" s="1">
        <f t="shared" si="23"/>
        <v>0.15046644598254591</v>
      </c>
      <c r="H340" s="2">
        <v>1.5</v>
      </c>
      <c r="I340" s="26">
        <v>0.78819444444444453</v>
      </c>
      <c r="J340" s="26">
        <v>0.82500000000000007</v>
      </c>
      <c r="K340" s="27">
        <f>Table3[[#This Row],[Delivery Time]]-Table3[[#This Row],[Order Time]]</f>
        <v>3.6805555555555536E-2</v>
      </c>
      <c r="L340" s="43">
        <v>53</v>
      </c>
      <c r="M340" s="25" t="s">
        <v>0</v>
      </c>
      <c r="N340" s="28"/>
      <c r="O340" s="28" t="s">
        <v>39</v>
      </c>
      <c r="P340" s="25" t="s">
        <v>20</v>
      </c>
      <c r="Q340" s="25"/>
    </row>
    <row r="341" spans="1:17" x14ac:dyDescent="0.25">
      <c r="A341" s="23">
        <f t="shared" si="20"/>
        <v>340</v>
      </c>
      <c r="B341" s="24">
        <v>43023</v>
      </c>
      <c r="C341" s="18" t="str">
        <f t="shared" si="21"/>
        <v>Sunday</v>
      </c>
      <c r="D341" s="10" t="str">
        <f t="shared" si="22"/>
        <v>Same</v>
      </c>
      <c r="E341" s="2">
        <v>23.82</v>
      </c>
      <c r="F341" s="2">
        <v>5</v>
      </c>
      <c r="G341" s="1">
        <f t="shared" si="23"/>
        <v>0.20990764063811923</v>
      </c>
      <c r="H341" s="2">
        <v>1.5</v>
      </c>
      <c r="I341" s="26">
        <v>0.79305555555555562</v>
      </c>
      <c r="J341" s="26">
        <v>0.83194444444444438</v>
      </c>
      <c r="K341" s="27">
        <f>Table3[[#This Row],[Delivery Time]]-Table3[[#This Row],[Order Time]]</f>
        <v>3.8888888888888751E-2</v>
      </c>
      <c r="L341" s="43">
        <v>56</v>
      </c>
      <c r="M341" s="25" t="s">
        <v>0</v>
      </c>
      <c r="N341" s="28"/>
      <c r="O341" s="28" t="s">
        <v>39</v>
      </c>
      <c r="P341" s="25" t="s">
        <v>20</v>
      </c>
      <c r="Q341" s="25"/>
    </row>
    <row r="342" spans="1:17" x14ac:dyDescent="0.25">
      <c r="A342" s="23">
        <f t="shared" si="20"/>
        <v>341</v>
      </c>
      <c r="B342" s="24">
        <v>43023</v>
      </c>
      <c r="C342" s="18" t="str">
        <f t="shared" si="21"/>
        <v>Sunday</v>
      </c>
      <c r="D342" s="10" t="str">
        <f t="shared" si="22"/>
        <v>Same</v>
      </c>
      <c r="E342" s="2">
        <v>19.7</v>
      </c>
      <c r="F342" s="2">
        <v>5.3</v>
      </c>
      <c r="G342" s="1">
        <f t="shared" si="23"/>
        <v>0.26903553299492383</v>
      </c>
      <c r="H342" s="2">
        <v>1.5</v>
      </c>
      <c r="I342" s="26">
        <v>0.79236111111111107</v>
      </c>
      <c r="J342" s="26">
        <v>0.83750000000000002</v>
      </c>
      <c r="K342" s="27">
        <f>Table3[[#This Row],[Delivery Time]]-Table3[[#This Row],[Order Time]]</f>
        <v>4.5138888888888951E-2</v>
      </c>
      <c r="L342" s="43">
        <v>65</v>
      </c>
      <c r="M342" s="25" t="s">
        <v>0</v>
      </c>
      <c r="N342" s="28"/>
      <c r="O342" s="28" t="s">
        <v>39</v>
      </c>
      <c r="P342" s="25" t="s">
        <v>20</v>
      </c>
      <c r="Q342" s="25"/>
    </row>
    <row r="343" spans="1:17" x14ac:dyDescent="0.25">
      <c r="A343" s="23">
        <f t="shared" si="20"/>
        <v>342</v>
      </c>
      <c r="B343" s="24">
        <v>43023</v>
      </c>
      <c r="C343" s="18" t="str">
        <f t="shared" si="21"/>
        <v>Sunday</v>
      </c>
      <c r="D343" s="10" t="str">
        <f t="shared" si="22"/>
        <v>Same</v>
      </c>
      <c r="E343" s="2">
        <v>41.03</v>
      </c>
      <c r="F343" s="2">
        <v>8</v>
      </c>
      <c r="G343" s="1">
        <f t="shared" si="23"/>
        <v>0.1949792834511333</v>
      </c>
      <c r="H343" s="2">
        <v>5</v>
      </c>
      <c r="I343" s="26">
        <v>0.7944444444444444</v>
      </c>
      <c r="J343" s="26">
        <v>0.84513888888888899</v>
      </c>
      <c r="K343" s="27">
        <f>Table3[[#This Row],[Delivery Time]]-Table3[[#This Row],[Order Time]]</f>
        <v>5.0694444444444597E-2</v>
      </c>
      <c r="L343" s="43">
        <v>73</v>
      </c>
      <c r="M343" s="25" t="s">
        <v>0</v>
      </c>
      <c r="N343" s="28"/>
      <c r="O343" s="28" t="s">
        <v>39</v>
      </c>
      <c r="P343" s="25" t="s">
        <v>20</v>
      </c>
      <c r="Q343" s="25"/>
    </row>
    <row r="344" spans="1:17" x14ac:dyDescent="0.25">
      <c r="A344" s="23">
        <f t="shared" si="20"/>
        <v>343</v>
      </c>
      <c r="B344" s="24">
        <v>43023</v>
      </c>
      <c r="C344" s="18" t="str">
        <f t="shared" si="21"/>
        <v>Sunday</v>
      </c>
      <c r="D344" s="10" t="str">
        <f t="shared" si="22"/>
        <v>Same</v>
      </c>
      <c r="E344" s="2">
        <v>18.89</v>
      </c>
      <c r="F344" s="2">
        <v>4</v>
      </c>
      <c r="G344" s="1">
        <f t="shared" si="23"/>
        <v>0.21175224986765484</v>
      </c>
      <c r="H344" s="2">
        <v>5</v>
      </c>
      <c r="I344" s="26">
        <v>0.86041666666666661</v>
      </c>
      <c r="J344" s="26">
        <v>0.87986111111111109</v>
      </c>
      <c r="K344" s="27">
        <f>Table3[[#This Row],[Delivery Time]]-Table3[[#This Row],[Order Time]]</f>
        <v>1.9444444444444486E-2</v>
      </c>
      <c r="L344" s="43">
        <v>28</v>
      </c>
      <c r="M344" s="25" t="s">
        <v>11</v>
      </c>
      <c r="N344" s="28"/>
      <c r="O344" s="28" t="s">
        <v>41</v>
      </c>
      <c r="P344" s="25" t="s">
        <v>20</v>
      </c>
      <c r="Q344" s="25"/>
    </row>
    <row r="345" spans="1:17" x14ac:dyDescent="0.25">
      <c r="A345" s="23">
        <f t="shared" si="20"/>
        <v>344</v>
      </c>
      <c r="B345" s="24">
        <v>43028</v>
      </c>
      <c r="C345" s="18" t="str">
        <f t="shared" si="21"/>
        <v>Friday</v>
      </c>
      <c r="D345" s="10" t="str">
        <f t="shared" si="22"/>
        <v>Different</v>
      </c>
      <c r="E345" s="2">
        <v>37.29</v>
      </c>
      <c r="F345" s="2">
        <v>10</v>
      </c>
      <c r="G345" s="1">
        <f t="shared" si="23"/>
        <v>0.26816840976133011</v>
      </c>
      <c r="H345" s="2">
        <v>1.5</v>
      </c>
      <c r="I345" s="26">
        <v>0.74513888888888891</v>
      </c>
      <c r="J345" s="26">
        <v>0.76041666666666663</v>
      </c>
      <c r="K345" s="27">
        <f>Table3[[#This Row],[Delivery Time]]-Table3[[#This Row],[Order Time]]</f>
        <v>1.5277777777777724E-2</v>
      </c>
      <c r="L345" s="43">
        <v>22</v>
      </c>
      <c r="M345" s="25" t="s">
        <v>0</v>
      </c>
      <c r="N345" s="28" t="s">
        <v>22</v>
      </c>
      <c r="O345" s="28" t="s">
        <v>39</v>
      </c>
      <c r="P345" s="25" t="s">
        <v>20</v>
      </c>
      <c r="Q345" s="25"/>
    </row>
    <row r="346" spans="1:17" x14ac:dyDescent="0.25">
      <c r="A346" s="23">
        <f t="shared" si="20"/>
        <v>345</v>
      </c>
      <c r="B346" s="24">
        <v>43028</v>
      </c>
      <c r="C346" s="18" t="str">
        <f t="shared" si="21"/>
        <v>Friday</v>
      </c>
      <c r="D346" s="10" t="str">
        <f t="shared" si="22"/>
        <v>Same</v>
      </c>
      <c r="E346" s="2">
        <v>47.79</v>
      </c>
      <c r="F346" s="2">
        <v>11</v>
      </c>
      <c r="G346" s="1">
        <f t="shared" si="23"/>
        <v>0.23017367650136011</v>
      </c>
      <c r="H346" s="2">
        <v>1.5</v>
      </c>
      <c r="I346" s="26">
        <v>0.73749999999999993</v>
      </c>
      <c r="J346" s="26">
        <v>0.76597222222222217</v>
      </c>
      <c r="K346" s="27">
        <f>Table3[[#This Row],[Delivery Time]]-Table3[[#This Row],[Order Time]]</f>
        <v>2.8472222222222232E-2</v>
      </c>
      <c r="L346" s="43">
        <v>41</v>
      </c>
      <c r="M346" s="25" t="s">
        <v>0</v>
      </c>
      <c r="N346" s="28" t="s">
        <v>22</v>
      </c>
      <c r="O346" s="28" t="s">
        <v>39</v>
      </c>
      <c r="P346" s="25" t="s">
        <v>20</v>
      </c>
      <c r="Q346" s="25"/>
    </row>
    <row r="347" spans="1:17" x14ac:dyDescent="0.25">
      <c r="A347" s="23">
        <f t="shared" si="20"/>
        <v>346</v>
      </c>
      <c r="B347" s="24">
        <v>43028</v>
      </c>
      <c r="C347" s="18" t="str">
        <f t="shared" si="21"/>
        <v>Friday</v>
      </c>
      <c r="D347" s="10" t="str">
        <f t="shared" si="22"/>
        <v>Same</v>
      </c>
      <c r="E347" s="2">
        <v>18.62</v>
      </c>
      <c r="F347" s="2">
        <v>5</v>
      </c>
      <c r="G347" s="1">
        <f t="shared" si="23"/>
        <v>0.26852846401718583</v>
      </c>
      <c r="H347" s="2">
        <v>1.5</v>
      </c>
      <c r="I347" s="26">
        <v>0.74583333333333324</v>
      </c>
      <c r="J347" s="26">
        <v>0.77361111111111114</v>
      </c>
      <c r="K347" s="27">
        <f>Table3[[#This Row],[Delivery Time]]-Table3[[#This Row],[Order Time]]</f>
        <v>2.7777777777777901E-2</v>
      </c>
      <c r="L347" s="43">
        <v>40</v>
      </c>
      <c r="M347" s="25" t="s">
        <v>0</v>
      </c>
      <c r="N347" s="28"/>
      <c r="O347" s="28" t="s">
        <v>39</v>
      </c>
      <c r="P347" s="25" t="s">
        <v>20</v>
      </c>
      <c r="Q347" s="25"/>
    </row>
    <row r="348" spans="1:17" x14ac:dyDescent="0.25">
      <c r="A348" s="23">
        <f t="shared" si="20"/>
        <v>347</v>
      </c>
      <c r="B348" s="24">
        <v>43028</v>
      </c>
      <c r="C348" s="18" t="str">
        <f t="shared" si="21"/>
        <v>Friday</v>
      </c>
      <c r="D348" s="10" t="str">
        <f t="shared" si="22"/>
        <v>Same</v>
      </c>
      <c r="E348" s="2">
        <v>34.32</v>
      </c>
      <c r="F348" s="2">
        <v>4</v>
      </c>
      <c r="G348" s="1">
        <f t="shared" si="23"/>
        <v>0.11655011655011654</v>
      </c>
      <c r="H348" s="2">
        <v>1.5</v>
      </c>
      <c r="I348" s="26">
        <v>0.78888888888888886</v>
      </c>
      <c r="J348" s="26">
        <v>0.80486111111111114</v>
      </c>
      <c r="K348" s="27">
        <f>Table3[[#This Row],[Delivery Time]]-Table3[[#This Row],[Order Time]]</f>
        <v>1.5972222222222276E-2</v>
      </c>
      <c r="L348" s="43">
        <v>23.000000000000004</v>
      </c>
      <c r="M348" s="25" t="s">
        <v>0</v>
      </c>
      <c r="N348" s="28" t="s">
        <v>25</v>
      </c>
      <c r="O348" s="28" t="s">
        <v>39</v>
      </c>
      <c r="P348" s="25" t="s">
        <v>20</v>
      </c>
      <c r="Q348" s="25"/>
    </row>
    <row r="349" spans="1:17" x14ac:dyDescent="0.25">
      <c r="A349" s="23">
        <f t="shared" si="20"/>
        <v>348</v>
      </c>
      <c r="B349" s="24">
        <v>43028</v>
      </c>
      <c r="C349" s="18" t="str">
        <f t="shared" si="21"/>
        <v>Friday</v>
      </c>
      <c r="D349" s="10" t="str">
        <f t="shared" si="22"/>
        <v>Same</v>
      </c>
      <c r="E349" s="2">
        <v>36.479999999999997</v>
      </c>
      <c r="F349" s="2">
        <v>6.52</v>
      </c>
      <c r="G349" s="1">
        <f t="shared" si="23"/>
        <v>0.1787280701754386</v>
      </c>
      <c r="H349" s="2">
        <v>5</v>
      </c>
      <c r="I349" s="26">
        <v>0.77847222222222223</v>
      </c>
      <c r="J349" s="26">
        <v>0.81527777777777777</v>
      </c>
      <c r="K349" s="27">
        <f>Table3[[#This Row],[Delivery Time]]-Table3[[#This Row],[Order Time]]</f>
        <v>3.6805555555555536E-2</v>
      </c>
      <c r="L349" s="43">
        <v>53</v>
      </c>
      <c r="M349" s="25" t="s">
        <v>0</v>
      </c>
      <c r="N349" s="28"/>
      <c r="O349" s="28" t="s">
        <v>39</v>
      </c>
      <c r="P349" s="25" t="s">
        <v>20</v>
      </c>
      <c r="Q349" s="25"/>
    </row>
    <row r="350" spans="1:17" x14ac:dyDescent="0.25">
      <c r="A350" s="23">
        <f t="shared" si="20"/>
        <v>349</v>
      </c>
      <c r="B350" s="24">
        <v>43028</v>
      </c>
      <c r="C350" s="18" t="str">
        <f t="shared" si="21"/>
        <v>Friday</v>
      </c>
      <c r="D350" s="10" t="str">
        <f t="shared" si="22"/>
        <v>Same</v>
      </c>
      <c r="E350" s="2">
        <v>62.19</v>
      </c>
      <c r="F350" s="2">
        <v>8</v>
      </c>
      <c r="G350" s="1">
        <f t="shared" si="23"/>
        <v>0.12863804470172055</v>
      </c>
      <c r="H350" s="2">
        <v>5</v>
      </c>
      <c r="I350" s="26">
        <v>0.78055555555555556</v>
      </c>
      <c r="J350" s="26">
        <v>0.8208333333333333</v>
      </c>
      <c r="K350" s="27">
        <f>Table3[[#This Row],[Delivery Time]]-Table3[[#This Row],[Order Time]]</f>
        <v>4.0277777777777746E-2</v>
      </c>
      <c r="L350" s="43">
        <v>58.000000000000007</v>
      </c>
      <c r="M350" s="25" t="s">
        <v>0</v>
      </c>
      <c r="N350" s="28"/>
      <c r="O350" s="28" t="s">
        <v>39</v>
      </c>
      <c r="P350" s="25" t="s">
        <v>20</v>
      </c>
      <c r="Q350" s="25"/>
    </row>
    <row r="351" spans="1:17" x14ac:dyDescent="0.25">
      <c r="A351" s="23">
        <f t="shared" si="20"/>
        <v>350</v>
      </c>
      <c r="B351" s="24">
        <v>43028</v>
      </c>
      <c r="C351" s="18" t="str">
        <f t="shared" si="21"/>
        <v>Friday</v>
      </c>
      <c r="D351" s="10" t="str">
        <f t="shared" si="22"/>
        <v>Same</v>
      </c>
      <c r="E351" s="2">
        <v>30.53</v>
      </c>
      <c r="F351" s="2">
        <v>5</v>
      </c>
      <c r="G351" s="1">
        <f t="shared" si="23"/>
        <v>0.16377333770062233</v>
      </c>
      <c r="H351" s="2">
        <v>1.5</v>
      </c>
      <c r="I351" s="26">
        <v>0.82986111111111116</v>
      </c>
      <c r="J351" s="26">
        <v>0.8569444444444444</v>
      </c>
      <c r="K351" s="27">
        <f>Table3[[#This Row],[Delivery Time]]-Table3[[#This Row],[Order Time]]</f>
        <v>2.7083333333333237E-2</v>
      </c>
      <c r="L351" s="43">
        <v>39</v>
      </c>
      <c r="M351" s="25" t="s">
        <v>0</v>
      </c>
      <c r="N351" s="28"/>
      <c r="O351" s="28" t="s">
        <v>41</v>
      </c>
      <c r="P351" s="25" t="s">
        <v>20</v>
      </c>
      <c r="Q351" s="25"/>
    </row>
    <row r="352" spans="1:17" x14ac:dyDescent="0.25">
      <c r="A352" s="23">
        <f t="shared" si="20"/>
        <v>351</v>
      </c>
      <c r="B352" s="24">
        <v>43028</v>
      </c>
      <c r="C352" s="18" t="str">
        <f t="shared" si="21"/>
        <v>Friday</v>
      </c>
      <c r="D352" s="10" t="str">
        <f t="shared" si="22"/>
        <v>Same</v>
      </c>
      <c r="E352" s="2">
        <v>25.66</v>
      </c>
      <c r="F352" s="2">
        <v>4</v>
      </c>
      <c r="G352" s="1">
        <f t="shared" si="23"/>
        <v>0.1558846453624318</v>
      </c>
      <c r="H352" s="2">
        <v>1.5</v>
      </c>
      <c r="I352" s="26">
        <v>0.83888888888888891</v>
      </c>
      <c r="J352" s="26">
        <v>0.86249999999999993</v>
      </c>
      <c r="K352" s="27">
        <f>Table3[[#This Row],[Delivery Time]]-Table3[[#This Row],[Order Time]]</f>
        <v>2.3611111111111027E-2</v>
      </c>
      <c r="L352" s="43">
        <v>34</v>
      </c>
      <c r="M352" s="25" t="s">
        <v>0</v>
      </c>
      <c r="N352" s="28"/>
      <c r="O352" s="28" t="s">
        <v>41</v>
      </c>
      <c r="P352" s="25" t="s">
        <v>20</v>
      </c>
      <c r="Q352" s="25"/>
    </row>
    <row r="353" spans="1:17" x14ac:dyDescent="0.25">
      <c r="A353" s="23">
        <f t="shared" si="20"/>
        <v>352</v>
      </c>
      <c r="B353" s="24">
        <v>43028</v>
      </c>
      <c r="C353" s="18" t="str">
        <f t="shared" si="21"/>
        <v>Friday</v>
      </c>
      <c r="D353" s="10" t="str">
        <f t="shared" si="22"/>
        <v>Same</v>
      </c>
      <c r="E353" s="2">
        <v>73.23</v>
      </c>
      <c r="F353" s="2">
        <v>10</v>
      </c>
      <c r="G353" s="1">
        <f t="shared" si="23"/>
        <v>0.13655605626109518</v>
      </c>
      <c r="H353" s="2">
        <v>1.5</v>
      </c>
      <c r="I353" s="26">
        <v>0.8305555555555556</v>
      </c>
      <c r="J353" s="26">
        <v>0.87013888888888891</v>
      </c>
      <c r="K353" s="27">
        <f>Table3[[#This Row],[Delivery Time]]-Table3[[#This Row],[Order Time]]</f>
        <v>3.9583333333333304E-2</v>
      </c>
      <c r="L353" s="43">
        <v>57</v>
      </c>
      <c r="M353" s="25" t="s">
        <v>0</v>
      </c>
      <c r="N353" s="28" t="s">
        <v>25</v>
      </c>
      <c r="O353" s="28" t="s">
        <v>39</v>
      </c>
      <c r="P353" s="25" t="s">
        <v>20</v>
      </c>
      <c r="Q353" s="25"/>
    </row>
    <row r="354" spans="1:17" x14ac:dyDescent="0.25">
      <c r="A354" s="23">
        <f t="shared" si="20"/>
        <v>353</v>
      </c>
      <c r="B354" s="24">
        <v>43028</v>
      </c>
      <c r="C354" s="18" t="str">
        <f t="shared" si="21"/>
        <v>Friday</v>
      </c>
      <c r="D354" s="10" t="str">
        <f t="shared" si="22"/>
        <v>Same</v>
      </c>
      <c r="E354" s="2">
        <v>22.95</v>
      </c>
      <c r="F354" s="2">
        <v>4.05</v>
      </c>
      <c r="G354" s="1">
        <f t="shared" si="23"/>
        <v>0.17647058823529413</v>
      </c>
      <c r="H354" s="2">
        <v>1.5</v>
      </c>
      <c r="I354" s="26">
        <v>0.83750000000000002</v>
      </c>
      <c r="J354" s="26">
        <v>0.87708333333333333</v>
      </c>
      <c r="K354" s="27">
        <f>Table3[[#This Row],[Delivery Time]]-Table3[[#This Row],[Order Time]]</f>
        <v>3.9583333333333304E-2</v>
      </c>
      <c r="L354" s="43">
        <v>57</v>
      </c>
      <c r="M354" s="25" t="s">
        <v>0</v>
      </c>
      <c r="N354" s="28"/>
      <c r="O354" s="28" t="s">
        <v>39</v>
      </c>
      <c r="P354" s="25" t="s">
        <v>20</v>
      </c>
      <c r="Q354" s="25"/>
    </row>
    <row r="355" spans="1:17" x14ac:dyDescent="0.25">
      <c r="A355" s="23">
        <f t="shared" si="20"/>
        <v>354</v>
      </c>
      <c r="B355" s="24">
        <v>43029</v>
      </c>
      <c r="C355" s="18" t="str">
        <f t="shared" si="21"/>
        <v>Saturday</v>
      </c>
      <c r="D355" s="10" t="str">
        <f t="shared" si="22"/>
        <v>Different</v>
      </c>
      <c r="E355" s="2">
        <v>16.18</v>
      </c>
      <c r="F355" s="2">
        <v>4</v>
      </c>
      <c r="G355" s="1">
        <f t="shared" si="23"/>
        <v>0.24721878862793573</v>
      </c>
      <c r="H355" s="2">
        <v>1.5</v>
      </c>
      <c r="I355" s="26">
        <v>0.70624999999999993</v>
      </c>
      <c r="J355" s="26">
        <v>0.72499999999999998</v>
      </c>
      <c r="K355" s="27">
        <f>Table3[[#This Row],[Delivery Time]]-Table3[[#This Row],[Order Time]]</f>
        <v>1.8750000000000044E-2</v>
      </c>
      <c r="L355" s="43">
        <v>26.999999999999996</v>
      </c>
      <c r="M355" s="25" t="s">
        <v>0</v>
      </c>
      <c r="N355" s="28"/>
      <c r="O355" s="28" t="s">
        <v>39</v>
      </c>
      <c r="P355" s="25" t="s">
        <v>20</v>
      </c>
      <c r="Q355" s="25"/>
    </row>
    <row r="356" spans="1:17" x14ac:dyDescent="0.25">
      <c r="A356" s="23">
        <f t="shared" si="20"/>
        <v>355</v>
      </c>
      <c r="B356" s="24">
        <v>43029</v>
      </c>
      <c r="C356" s="18" t="str">
        <f t="shared" si="21"/>
        <v>Saturday</v>
      </c>
      <c r="D356" s="10" t="str">
        <f t="shared" si="22"/>
        <v>Same</v>
      </c>
      <c r="E356" s="2">
        <v>35.4</v>
      </c>
      <c r="F356" s="2">
        <v>4.5999999999999996</v>
      </c>
      <c r="G356" s="1">
        <f t="shared" si="23"/>
        <v>0.12994350282485875</v>
      </c>
      <c r="H356" s="2">
        <v>1.5</v>
      </c>
      <c r="I356" s="26">
        <v>0.75069444444444444</v>
      </c>
      <c r="J356" s="26">
        <v>0.7715277777777777</v>
      </c>
      <c r="K356" s="27">
        <f>Table3[[#This Row],[Delivery Time]]-Table3[[#This Row],[Order Time]]</f>
        <v>2.0833333333333259E-2</v>
      </c>
      <c r="L356" s="43">
        <v>30</v>
      </c>
      <c r="M356" s="25" t="s">
        <v>11</v>
      </c>
      <c r="N356" s="28"/>
      <c r="O356" s="28" t="s">
        <v>40</v>
      </c>
      <c r="P356" s="25" t="s">
        <v>20</v>
      </c>
      <c r="Q356" s="25"/>
    </row>
    <row r="357" spans="1:17" x14ac:dyDescent="0.25">
      <c r="A357" s="23">
        <f t="shared" si="20"/>
        <v>356</v>
      </c>
      <c r="B357" s="24">
        <v>43029</v>
      </c>
      <c r="C357" s="18" t="str">
        <f t="shared" si="21"/>
        <v>Saturday</v>
      </c>
      <c r="D357" s="10" t="str">
        <f t="shared" si="22"/>
        <v>Same</v>
      </c>
      <c r="E357" s="2">
        <v>34.32</v>
      </c>
      <c r="F357" s="2">
        <v>5</v>
      </c>
      <c r="G357" s="1">
        <f t="shared" si="23"/>
        <v>0.14568764568764569</v>
      </c>
      <c r="H357" s="2">
        <v>1.5</v>
      </c>
      <c r="I357" s="26">
        <v>0.80138888888888893</v>
      </c>
      <c r="J357" s="26">
        <v>0.8208333333333333</v>
      </c>
      <c r="K357" s="27">
        <f>Table3[[#This Row],[Delivery Time]]-Table3[[#This Row],[Order Time]]</f>
        <v>1.9444444444444375E-2</v>
      </c>
      <c r="L357" s="43">
        <v>28</v>
      </c>
      <c r="M357" s="25" t="s">
        <v>0</v>
      </c>
      <c r="N357" s="28" t="s">
        <v>26</v>
      </c>
      <c r="O357" s="28" t="s">
        <v>39</v>
      </c>
      <c r="P357" s="25" t="s">
        <v>20</v>
      </c>
      <c r="Q357" s="25"/>
    </row>
    <row r="358" spans="1:17" x14ac:dyDescent="0.25">
      <c r="A358" s="23">
        <f t="shared" si="20"/>
        <v>357</v>
      </c>
      <c r="B358" s="24">
        <v>43029</v>
      </c>
      <c r="C358" s="18" t="str">
        <f t="shared" si="21"/>
        <v>Saturday</v>
      </c>
      <c r="D358" s="10" t="str">
        <f t="shared" si="22"/>
        <v>Same</v>
      </c>
      <c r="E358" s="2">
        <v>25.38</v>
      </c>
      <c r="F358" s="2">
        <v>10</v>
      </c>
      <c r="G358" s="1">
        <f t="shared" si="23"/>
        <v>0.39401103230890466</v>
      </c>
      <c r="H358" s="2">
        <v>1.5</v>
      </c>
      <c r="I358" s="26">
        <v>0.79027777777777775</v>
      </c>
      <c r="J358" s="26">
        <v>0.82638888888888884</v>
      </c>
      <c r="K358" s="27">
        <f>Table3[[#This Row],[Delivery Time]]-Table3[[#This Row],[Order Time]]</f>
        <v>3.6111111111111094E-2</v>
      </c>
      <c r="L358" s="43">
        <v>52</v>
      </c>
      <c r="M358" s="25" t="s">
        <v>0</v>
      </c>
      <c r="N358" s="28"/>
      <c r="O358" s="28" t="s">
        <v>39</v>
      </c>
      <c r="P358" s="25" t="s">
        <v>20</v>
      </c>
      <c r="Q358" s="25"/>
    </row>
    <row r="359" spans="1:17" x14ac:dyDescent="0.25">
      <c r="A359" s="23">
        <f t="shared" si="20"/>
        <v>358</v>
      </c>
      <c r="B359" s="24">
        <v>43029</v>
      </c>
      <c r="C359" s="18" t="str">
        <f t="shared" si="21"/>
        <v>Saturday</v>
      </c>
      <c r="D359" s="10" t="str">
        <f t="shared" si="22"/>
        <v>Same</v>
      </c>
      <c r="E359" s="2">
        <v>68.680000000000007</v>
      </c>
      <c r="F359" s="2">
        <v>6</v>
      </c>
      <c r="G359" s="1">
        <f t="shared" si="23"/>
        <v>8.7361677344204997E-2</v>
      </c>
      <c r="H359" s="2">
        <v>1.5</v>
      </c>
      <c r="I359" s="26">
        <v>0.79375000000000007</v>
      </c>
      <c r="J359" s="26">
        <v>0.83263888888888893</v>
      </c>
      <c r="K359" s="27">
        <f>Table3[[#This Row],[Delivery Time]]-Table3[[#This Row],[Order Time]]</f>
        <v>3.8888888888888862E-2</v>
      </c>
      <c r="L359" s="43">
        <v>56</v>
      </c>
      <c r="M359" s="25" t="s">
        <v>0</v>
      </c>
      <c r="N359" s="28"/>
      <c r="O359" s="28" t="s">
        <v>39</v>
      </c>
      <c r="P359" s="25" t="s">
        <v>20</v>
      </c>
      <c r="Q359" s="25"/>
    </row>
    <row r="360" spans="1:17" x14ac:dyDescent="0.25">
      <c r="A360" s="23">
        <f t="shared" si="20"/>
        <v>359</v>
      </c>
      <c r="B360" s="24">
        <v>43029</v>
      </c>
      <c r="C360" s="18" t="str">
        <f t="shared" si="21"/>
        <v>Saturday</v>
      </c>
      <c r="D360" s="10" t="str">
        <f t="shared" si="22"/>
        <v>Same</v>
      </c>
      <c r="E360" s="2">
        <v>34.86</v>
      </c>
      <c r="F360" s="2">
        <v>6</v>
      </c>
      <c r="G360" s="1">
        <f t="shared" si="23"/>
        <v>0.1721170395869191</v>
      </c>
      <c r="H360" s="2">
        <v>5</v>
      </c>
      <c r="I360" s="26">
        <v>0.79375000000000007</v>
      </c>
      <c r="J360" s="26">
        <v>0.83750000000000002</v>
      </c>
      <c r="K360" s="27">
        <f>Table3[[#This Row],[Delivery Time]]-Table3[[#This Row],[Order Time]]</f>
        <v>4.3749999999999956E-2</v>
      </c>
      <c r="L360" s="43">
        <v>63</v>
      </c>
      <c r="M360" s="25" t="s">
        <v>0</v>
      </c>
      <c r="N360" s="28"/>
      <c r="O360" s="28" t="s">
        <v>39</v>
      </c>
      <c r="P360" s="25" t="s">
        <v>20</v>
      </c>
      <c r="Q360" s="25"/>
    </row>
    <row r="361" spans="1:17" x14ac:dyDescent="0.25">
      <c r="A361" s="23">
        <f t="shared" si="20"/>
        <v>360</v>
      </c>
      <c r="B361" s="24">
        <v>43029</v>
      </c>
      <c r="C361" s="18" t="str">
        <f t="shared" si="21"/>
        <v>Saturday</v>
      </c>
      <c r="D361" s="10" t="str">
        <f t="shared" si="22"/>
        <v>Same</v>
      </c>
      <c r="E361" s="2">
        <v>39.97</v>
      </c>
      <c r="F361" s="2">
        <v>7</v>
      </c>
      <c r="G361" s="1">
        <f t="shared" si="23"/>
        <v>0.17513134851138354</v>
      </c>
      <c r="H361" s="2">
        <v>1.5</v>
      </c>
      <c r="I361" s="26">
        <v>0.83680555555555547</v>
      </c>
      <c r="J361" s="26">
        <v>0.86111111111111116</v>
      </c>
      <c r="K361" s="27">
        <f>Table3[[#This Row],[Delivery Time]]-Table3[[#This Row],[Order Time]]</f>
        <v>2.4305555555555691E-2</v>
      </c>
      <c r="L361" s="43">
        <v>35</v>
      </c>
      <c r="M361" s="25" t="s">
        <v>0</v>
      </c>
      <c r="N361" s="28"/>
      <c r="O361" s="28" t="s">
        <v>42</v>
      </c>
      <c r="P361" s="25" t="s">
        <v>20</v>
      </c>
      <c r="Q361" s="25"/>
    </row>
    <row r="362" spans="1:17" x14ac:dyDescent="0.25">
      <c r="A362" s="23">
        <f t="shared" si="20"/>
        <v>361</v>
      </c>
      <c r="B362" s="24">
        <v>43030</v>
      </c>
      <c r="C362" s="18" t="str">
        <f t="shared" si="21"/>
        <v>Sunday</v>
      </c>
      <c r="D362" s="10" t="str">
        <f t="shared" si="22"/>
        <v>Different</v>
      </c>
      <c r="E362" s="2">
        <v>27.06</v>
      </c>
      <c r="F362" s="2">
        <v>6</v>
      </c>
      <c r="G362" s="1">
        <f t="shared" si="23"/>
        <v>0.22172949002217296</v>
      </c>
      <c r="H362" s="2">
        <v>1.5</v>
      </c>
      <c r="I362" s="26">
        <v>0.72430555555555554</v>
      </c>
      <c r="J362" s="26">
        <v>0.74861111111111101</v>
      </c>
      <c r="K362" s="27">
        <f>Table3[[#This Row],[Delivery Time]]-Table3[[#This Row],[Order Time]]</f>
        <v>2.4305555555555469E-2</v>
      </c>
      <c r="L362" s="43">
        <v>35</v>
      </c>
      <c r="M362" s="25" t="s">
        <v>11</v>
      </c>
      <c r="N362" s="28"/>
      <c r="O362" s="28" t="s">
        <v>39</v>
      </c>
      <c r="P362" s="25" t="s">
        <v>20</v>
      </c>
      <c r="Q362" s="25"/>
    </row>
    <row r="363" spans="1:17" x14ac:dyDescent="0.25">
      <c r="A363" s="23">
        <f t="shared" si="20"/>
        <v>362</v>
      </c>
      <c r="B363" s="24">
        <v>43030</v>
      </c>
      <c r="C363" s="18" t="str">
        <f t="shared" si="21"/>
        <v>Sunday</v>
      </c>
      <c r="D363" s="10" t="str">
        <f t="shared" si="22"/>
        <v>Same</v>
      </c>
      <c r="E363" s="2">
        <v>57.75</v>
      </c>
      <c r="F363" s="2">
        <v>6</v>
      </c>
      <c r="G363" s="1">
        <f t="shared" si="23"/>
        <v>0.1038961038961039</v>
      </c>
      <c r="H363" s="2">
        <v>1.5</v>
      </c>
      <c r="I363" s="26">
        <v>0.73125000000000007</v>
      </c>
      <c r="J363" s="26">
        <v>0.75277777777777777</v>
      </c>
      <c r="K363" s="27">
        <f>Table3[[#This Row],[Delivery Time]]-Table3[[#This Row],[Order Time]]</f>
        <v>2.1527777777777701E-2</v>
      </c>
      <c r="L363" s="43">
        <v>31.000000000000004</v>
      </c>
      <c r="M363" s="25" t="s">
        <v>11</v>
      </c>
      <c r="N363" s="28"/>
      <c r="O363" s="28" t="s">
        <v>39</v>
      </c>
      <c r="P363" s="25" t="s">
        <v>20</v>
      </c>
      <c r="Q363" s="25"/>
    </row>
    <row r="364" spans="1:17" x14ac:dyDescent="0.25">
      <c r="A364" s="23">
        <f t="shared" si="20"/>
        <v>363</v>
      </c>
      <c r="B364" s="24">
        <v>43030</v>
      </c>
      <c r="C364" s="18" t="str">
        <f t="shared" si="21"/>
        <v>Sunday</v>
      </c>
      <c r="D364" s="10" t="str">
        <f t="shared" si="22"/>
        <v>Same</v>
      </c>
      <c r="E364" s="2">
        <v>19.7</v>
      </c>
      <c r="F364" s="2">
        <v>4</v>
      </c>
      <c r="G364" s="1">
        <f t="shared" si="23"/>
        <v>0.20304568527918782</v>
      </c>
      <c r="H364" s="2">
        <v>1.5</v>
      </c>
      <c r="I364" s="26">
        <v>0.7583333333333333</v>
      </c>
      <c r="J364" s="26">
        <v>0.79652777777777783</v>
      </c>
      <c r="K364" s="27">
        <f>Table3[[#This Row],[Delivery Time]]-Table3[[#This Row],[Order Time]]</f>
        <v>3.8194444444444531E-2</v>
      </c>
      <c r="L364" s="43">
        <v>54.999999999999993</v>
      </c>
      <c r="M364" s="25" t="s">
        <v>12</v>
      </c>
      <c r="N364" s="28"/>
      <c r="O364" s="28" t="s">
        <v>41</v>
      </c>
      <c r="P364" s="25" t="s">
        <v>20</v>
      </c>
      <c r="Q364" s="25"/>
    </row>
    <row r="365" spans="1:17" x14ac:dyDescent="0.25">
      <c r="A365" s="23">
        <f t="shared" si="20"/>
        <v>364</v>
      </c>
      <c r="B365" s="24">
        <v>43030</v>
      </c>
      <c r="C365" s="18" t="str">
        <f t="shared" si="21"/>
        <v>Sunday</v>
      </c>
      <c r="D365" s="10" t="str">
        <f t="shared" si="22"/>
        <v>Same</v>
      </c>
      <c r="E365" s="2">
        <v>41.89</v>
      </c>
      <c r="F365" s="2">
        <v>11.11</v>
      </c>
      <c r="G365" s="1">
        <f t="shared" si="23"/>
        <v>0.2652184292193841</v>
      </c>
      <c r="H365" s="2">
        <v>1.5</v>
      </c>
      <c r="I365" s="26">
        <v>0.79027777777777775</v>
      </c>
      <c r="J365" s="26">
        <v>0.81805555555555554</v>
      </c>
      <c r="K365" s="27">
        <f>Table3[[#This Row],[Delivery Time]]-Table3[[#This Row],[Order Time]]</f>
        <v>2.777777777777779E-2</v>
      </c>
      <c r="L365" s="43">
        <v>40</v>
      </c>
      <c r="M365" s="25" t="s">
        <v>11</v>
      </c>
      <c r="N365" s="28"/>
      <c r="O365" s="28" t="s">
        <v>40</v>
      </c>
      <c r="P365" s="25" t="s">
        <v>20</v>
      </c>
      <c r="Q365" s="25"/>
    </row>
    <row r="366" spans="1:17" x14ac:dyDescent="0.25">
      <c r="A366" s="23">
        <f t="shared" si="20"/>
        <v>365</v>
      </c>
      <c r="B366" s="24">
        <v>43030</v>
      </c>
      <c r="C366" s="18" t="str">
        <f t="shared" si="21"/>
        <v>Sunday</v>
      </c>
      <c r="D366" s="10" t="str">
        <f t="shared" si="22"/>
        <v>Same</v>
      </c>
      <c r="E366" s="2">
        <v>24.84</v>
      </c>
      <c r="F366" s="2">
        <v>5</v>
      </c>
      <c r="G366" s="1">
        <f t="shared" si="23"/>
        <v>0.20128824476650564</v>
      </c>
      <c r="H366" s="2">
        <v>1.5</v>
      </c>
      <c r="I366" s="26">
        <v>0.8125</v>
      </c>
      <c r="J366" s="26">
        <v>0.83750000000000002</v>
      </c>
      <c r="K366" s="27">
        <f>Table3[[#This Row],[Delivery Time]]-Table3[[#This Row],[Order Time]]</f>
        <v>2.5000000000000022E-2</v>
      </c>
      <c r="L366" s="43">
        <v>36</v>
      </c>
      <c r="M366" s="25" t="s">
        <v>12</v>
      </c>
      <c r="N366" s="28"/>
      <c r="O366" s="28" t="s">
        <v>41</v>
      </c>
      <c r="P366" s="25" t="s">
        <v>20</v>
      </c>
      <c r="Q366" s="25"/>
    </row>
    <row r="367" spans="1:17" x14ac:dyDescent="0.25">
      <c r="A367" s="23">
        <f t="shared" si="20"/>
        <v>366</v>
      </c>
      <c r="B367" s="24">
        <v>43030</v>
      </c>
      <c r="C367" s="18" t="str">
        <f t="shared" si="21"/>
        <v>Sunday</v>
      </c>
      <c r="D367" s="10" t="str">
        <f t="shared" si="22"/>
        <v>Same</v>
      </c>
      <c r="E367" s="2">
        <v>10.83</v>
      </c>
      <c r="F367" s="2">
        <v>3</v>
      </c>
      <c r="G367" s="1">
        <f t="shared" si="23"/>
        <v>0.2770083102493075</v>
      </c>
      <c r="H367" s="2">
        <v>1.5</v>
      </c>
      <c r="I367" s="26">
        <v>0.81944444444444453</v>
      </c>
      <c r="J367" s="26">
        <v>0.85</v>
      </c>
      <c r="K367" s="27">
        <f>Table3[[#This Row],[Delivery Time]]-Table3[[#This Row],[Order Time]]</f>
        <v>3.0555555555555447E-2</v>
      </c>
      <c r="L367" s="43">
        <v>44</v>
      </c>
      <c r="M367" s="25" t="s">
        <v>12</v>
      </c>
      <c r="N367" s="28"/>
      <c r="O367" s="28" t="s">
        <v>41</v>
      </c>
      <c r="P367" s="25" t="s">
        <v>20</v>
      </c>
      <c r="Q367" s="25"/>
    </row>
    <row r="368" spans="1:17" x14ac:dyDescent="0.25">
      <c r="A368" s="23">
        <f t="shared" si="20"/>
        <v>367</v>
      </c>
      <c r="B368" s="24">
        <v>43035</v>
      </c>
      <c r="C368" s="18" t="str">
        <f t="shared" si="21"/>
        <v>Friday</v>
      </c>
      <c r="D368" s="10" t="str">
        <f t="shared" si="22"/>
        <v>Different</v>
      </c>
      <c r="E368" s="2">
        <v>44.06</v>
      </c>
      <c r="F368" s="2">
        <v>4.9400000000000004</v>
      </c>
      <c r="G368" s="1">
        <f t="shared" si="23"/>
        <v>0.112119836586473</v>
      </c>
      <c r="H368" s="2">
        <v>1.5</v>
      </c>
      <c r="I368" s="26">
        <v>0.70416666666666661</v>
      </c>
      <c r="J368" s="26">
        <v>0.7284722222222223</v>
      </c>
      <c r="K368" s="27">
        <f>Table3[[#This Row],[Delivery Time]]-Table3[[#This Row],[Order Time]]</f>
        <v>2.4305555555555691E-2</v>
      </c>
      <c r="L368" s="43">
        <v>35</v>
      </c>
      <c r="M368" s="25" t="s">
        <v>0</v>
      </c>
      <c r="N368" s="28"/>
      <c r="O368" s="28" t="s">
        <v>41</v>
      </c>
      <c r="P368" s="25" t="s">
        <v>20</v>
      </c>
      <c r="Q368" s="25"/>
    </row>
    <row r="369" spans="1:17" x14ac:dyDescent="0.25">
      <c r="A369" s="23">
        <f t="shared" si="20"/>
        <v>368</v>
      </c>
      <c r="B369" s="24">
        <v>43035</v>
      </c>
      <c r="C369" s="18" t="str">
        <f t="shared" si="21"/>
        <v>Friday</v>
      </c>
      <c r="D369" s="10" t="str">
        <f t="shared" si="22"/>
        <v>Same</v>
      </c>
      <c r="E369" s="2">
        <v>26.2</v>
      </c>
      <c r="F369" s="2">
        <v>5</v>
      </c>
      <c r="G369" s="1">
        <f t="shared" si="23"/>
        <v>0.19083969465648856</v>
      </c>
      <c r="H369" s="2">
        <v>1.5</v>
      </c>
      <c r="I369" s="26">
        <v>0.70277777777777783</v>
      </c>
      <c r="J369" s="26">
        <v>0.73888888888888893</v>
      </c>
      <c r="K369" s="27">
        <f>Table3[[#This Row],[Delivery Time]]-Table3[[#This Row],[Order Time]]</f>
        <v>3.6111111111111094E-2</v>
      </c>
      <c r="L369" s="43">
        <v>52</v>
      </c>
      <c r="M369" s="25" t="s">
        <v>0</v>
      </c>
      <c r="N369" s="28" t="s">
        <v>22</v>
      </c>
      <c r="O369" s="28" t="s">
        <v>39</v>
      </c>
      <c r="P369" s="25" t="s">
        <v>20</v>
      </c>
      <c r="Q369" s="25"/>
    </row>
    <row r="370" spans="1:17" x14ac:dyDescent="0.25">
      <c r="A370" s="23">
        <f t="shared" si="20"/>
        <v>369</v>
      </c>
      <c r="B370" s="24">
        <v>43035</v>
      </c>
      <c r="C370" s="18" t="str">
        <f t="shared" si="21"/>
        <v>Friday</v>
      </c>
      <c r="D370" s="10" t="str">
        <f t="shared" si="22"/>
        <v>Same</v>
      </c>
      <c r="E370" s="2">
        <v>38.97</v>
      </c>
      <c r="F370" s="2">
        <v>6</v>
      </c>
      <c r="G370" s="1">
        <f t="shared" si="23"/>
        <v>0.15396458814472672</v>
      </c>
      <c r="H370" s="2">
        <v>1.5</v>
      </c>
      <c r="I370" s="26">
        <v>0.71180555555555547</v>
      </c>
      <c r="J370" s="26">
        <v>0.75</v>
      </c>
      <c r="K370" s="27">
        <f>Table3[[#This Row],[Delivery Time]]-Table3[[#This Row],[Order Time]]</f>
        <v>3.8194444444444531E-2</v>
      </c>
      <c r="L370" s="43">
        <v>54.999999999999993</v>
      </c>
      <c r="M370" s="25" t="s">
        <v>0</v>
      </c>
      <c r="N370" s="28"/>
      <c r="O370" s="28" t="s">
        <v>39</v>
      </c>
      <c r="P370" s="25" t="s">
        <v>20</v>
      </c>
      <c r="Q370" s="25"/>
    </row>
    <row r="371" spans="1:17" x14ac:dyDescent="0.25">
      <c r="A371" s="23">
        <f t="shared" si="20"/>
        <v>370</v>
      </c>
      <c r="B371" s="24">
        <v>43035</v>
      </c>
      <c r="C371" s="18" t="str">
        <f t="shared" si="21"/>
        <v>Friday</v>
      </c>
      <c r="D371" s="10" t="str">
        <f t="shared" si="22"/>
        <v>Same</v>
      </c>
      <c r="E371" s="2">
        <v>29.99</v>
      </c>
      <c r="F371" s="2">
        <v>3</v>
      </c>
      <c r="G371" s="1">
        <f t="shared" si="23"/>
        <v>0.10003334444814939</v>
      </c>
      <c r="H371" s="2">
        <v>1.5</v>
      </c>
      <c r="I371" s="26">
        <v>0.74791666666666667</v>
      </c>
      <c r="J371" s="26">
        <v>0.77847222222222223</v>
      </c>
      <c r="K371" s="27">
        <f>Table3[[#This Row],[Delivery Time]]-Table3[[#This Row],[Order Time]]</f>
        <v>3.0555555555555558E-2</v>
      </c>
      <c r="L371" s="43">
        <v>44</v>
      </c>
      <c r="M371" s="25" t="s">
        <v>12</v>
      </c>
      <c r="N371" s="28"/>
      <c r="O371" s="28" t="s">
        <v>41</v>
      </c>
      <c r="P371" s="25" t="s">
        <v>20</v>
      </c>
      <c r="Q371" s="25"/>
    </row>
    <row r="372" spans="1:17" x14ac:dyDescent="0.25">
      <c r="A372" s="23">
        <f t="shared" si="20"/>
        <v>371</v>
      </c>
      <c r="B372" s="24">
        <v>43035</v>
      </c>
      <c r="C372" s="18" t="str">
        <f t="shared" si="21"/>
        <v>Friday</v>
      </c>
      <c r="D372" s="10" t="str">
        <f t="shared" si="22"/>
        <v>Same</v>
      </c>
      <c r="E372" s="2">
        <v>49.69</v>
      </c>
      <c r="F372" s="2">
        <v>5</v>
      </c>
      <c r="G372" s="1">
        <f t="shared" si="23"/>
        <v>0.10062386798148522</v>
      </c>
      <c r="H372" s="2">
        <v>1.5</v>
      </c>
      <c r="I372" s="26">
        <v>0.75069444444444444</v>
      </c>
      <c r="J372" s="26">
        <v>0.78611111111111109</v>
      </c>
      <c r="K372" s="27">
        <f>Table3[[#This Row],[Delivery Time]]-Table3[[#This Row],[Order Time]]</f>
        <v>3.5416666666666652E-2</v>
      </c>
      <c r="L372" s="43">
        <v>51</v>
      </c>
      <c r="M372" s="25" t="s">
        <v>11</v>
      </c>
      <c r="N372" s="28"/>
      <c r="O372" s="28" t="s">
        <v>39</v>
      </c>
      <c r="P372" s="25" t="s">
        <v>20</v>
      </c>
      <c r="Q372" s="25"/>
    </row>
    <row r="373" spans="1:17" x14ac:dyDescent="0.25">
      <c r="A373" s="23">
        <f t="shared" si="20"/>
        <v>372</v>
      </c>
      <c r="B373" s="24">
        <v>43035</v>
      </c>
      <c r="C373" s="18" t="str">
        <f t="shared" si="21"/>
        <v>Friday</v>
      </c>
      <c r="D373" s="10" t="str">
        <f t="shared" si="22"/>
        <v>Same</v>
      </c>
      <c r="E373" s="2">
        <v>29.99</v>
      </c>
      <c r="F373" s="2">
        <v>5</v>
      </c>
      <c r="G373" s="1">
        <f t="shared" si="23"/>
        <v>0.16672224074691563</v>
      </c>
      <c r="H373" s="2">
        <v>5</v>
      </c>
      <c r="I373" s="26">
        <v>0.78819444444444453</v>
      </c>
      <c r="J373" s="26">
        <v>0.81180555555555556</v>
      </c>
      <c r="K373" s="27">
        <f>Table3[[#This Row],[Delivery Time]]-Table3[[#This Row],[Order Time]]</f>
        <v>2.3611111111111027E-2</v>
      </c>
      <c r="L373" s="43">
        <v>34</v>
      </c>
      <c r="M373" s="25" t="s">
        <v>36</v>
      </c>
      <c r="N373" s="28"/>
      <c r="O373" s="28" t="s">
        <v>39</v>
      </c>
      <c r="P373" s="25" t="s">
        <v>20</v>
      </c>
      <c r="Q373" s="25"/>
    </row>
    <row r="374" spans="1:17" x14ac:dyDescent="0.25">
      <c r="A374" s="23">
        <f t="shared" si="20"/>
        <v>373</v>
      </c>
      <c r="B374" s="24">
        <v>43035</v>
      </c>
      <c r="C374" s="18" t="str">
        <f t="shared" si="21"/>
        <v>Friday</v>
      </c>
      <c r="D374" s="10" t="str">
        <f t="shared" si="22"/>
        <v>Same</v>
      </c>
      <c r="E374" s="2">
        <v>26.25</v>
      </c>
      <c r="F374" s="2">
        <v>13.75</v>
      </c>
      <c r="G374" s="1">
        <f t="shared" si="23"/>
        <v>0.52380952380952384</v>
      </c>
      <c r="H374" s="2">
        <v>1.5</v>
      </c>
      <c r="I374" s="26">
        <v>0.83124999999999993</v>
      </c>
      <c r="J374" s="26">
        <v>0.84305555555555556</v>
      </c>
      <c r="K374" s="27">
        <f>Table3[[#This Row],[Delivery Time]]-Table3[[#This Row],[Order Time]]</f>
        <v>1.1805555555555625E-2</v>
      </c>
      <c r="L374" s="43">
        <v>17</v>
      </c>
      <c r="M374" s="25" t="s">
        <v>0</v>
      </c>
      <c r="N374" s="28"/>
      <c r="O374" s="28" t="s">
        <v>39</v>
      </c>
      <c r="P374" s="25" t="s">
        <v>20</v>
      </c>
      <c r="Q374" s="25"/>
    </row>
    <row r="375" spans="1:17" x14ac:dyDescent="0.25">
      <c r="A375" s="23">
        <f t="shared" si="20"/>
        <v>374</v>
      </c>
      <c r="B375" s="24">
        <v>43035</v>
      </c>
      <c r="C375" s="18" t="str">
        <f t="shared" si="21"/>
        <v>Friday</v>
      </c>
      <c r="D375" s="10" t="str">
        <f t="shared" si="22"/>
        <v>Same</v>
      </c>
      <c r="E375" s="2">
        <v>36.21</v>
      </c>
      <c r="F375" s="2">
        <v>8.7899999999999991</v>
      </c>
      <c r="G375" s="1">
        <f t="shared" si="23"/>
        <v>0.24275062137531067</v>
      </c>
      <c r="H375" s="2">
        <v>1.5</v>
      </c>
      <c r="I375" s="26">
        <v>0.83750000000000002</v>
      </c>
      <c r="J375" s="26">
        <v>0.86597222222222225</v>
      </c>
      <c r="K375" s="27">
        <f>Table3[[#This Row],[Delivery Time]]-Table3[[#This Row],[Order Time]]</f>
        <v>2.8472222222222232E-2</v>
      </c>
      <c r="L375" s="43">
        <v>41</v>
      </c>
      <c r="M375" s="25" t="s">
        <v>0</v>
      </c>
      <c r="N375" s="28"/>
      <c r="O375" s="28" t="s">
        <v>39</v>
      </c>
      <c r="P375" s="25" t="s">
        <v>20</v>
      </c>
      <c r="Q375" s="25"/>
    </row>
    <row r="376" spans="1:17" x14ac:dyDescent="0.25">
      <c r="A376" s="23">
        <f t="shared" si="20"/>
        <v>375</v>
      </c>
      <c r="B376" s="24">
        <v>43035</v>
      </c>
      <c r="C376" s="18" t="str">
        <f t="shared" si="21"/>
        <v>Friday</v>
      </c>
      <c r="D376" s="10" t="str">
        <f t="shared" si="22"/>
        <v>Same</v>
      </c>
      <c r="E376" s="2">
        <v>28.9</v>
      </c>
      <c r="F376" s="2">
        <v>5</v>
      </c>
      <c r="G376" s="1">
        <f t="shared" si="23"/>
        <v>0.17301038062283738</v>
      </c>
      <c r="H376" s="2">
        <v>1.5</v>
      </c>
      <c r="I376" s="26">
        <v>0.84236111111111101</v>
      </c>
      <c r="J376" s="26">
        <v>0.875</v>
      </c>
      <c r="K376" s="27">
        <f>Table3[[#This Row],[Delivery Time]]-Table3[[#This Row],[Order Time]]</f>
        <v>3.2638888888888995E-2</v>
      </c>
      <c r="L376" s="43">
        <v>47.000000000000007</v>
      </c>
      <c r="M376" s="25" t="s">
        <v>0</v>
      </c>
      <c r="N376" s="28" t="s">
        <v>26</v>
      </c>
      <c r="O376" s="28" t="s">
        <v>39</v>
      </c>
      <c r="P376" s="25" t="s">
        <v>20</v>
      </c>
      <c r="Q376" s="25"/>
    </row>
    <row r="377" spans="1:17" x14ac:dyDescent="0.25">
      <c r="A377" s="23">
        <f t="shared" si="20"/>
        <v>376</v>
      </c>
      <c r="B377" s="24">
        <v>43042</v>
      </c>
      <c r="C377" s="18" t="str">
        <f t="shared" si="21"/>
        <v>Friday</v>
      </c>
      <c r="D377" s="10" t="str">
        <f t="shared" si="22"/>
        <v>Different</v>
      </c>
      <c r="E377" s="2">
        <v>56.72</v>
      </c>
      <c r="F377" s="2">
        <v>10</v>
      </c>
      <c r="G377" s="1">
        <f t="shared" si="23"/>
        <v>0.1763046544428773</v>
      </c>
      <c r="H377" s="2">
        <v>5</v>
      </c>
      <c r="I377" s="26">
        <v>0.68472222222222223</v>
      </c>
      <c r="J377" s="26">
        <v>0.72291666666666676</v>
      </c>
      <c r="K377" s="27">
        <f>Table3[[#This Row],[Delivery Time]]-Table3[[#This Row],[Order Time]]</f>
        <v>3.8194444444444531E-2</v>
      </c>
      <c r="L377" s="43">
        <v>54.999999999999993</v>
      </c>
      <c r="M377" s="25" t="s">
        <v>36</v>
      </c>
      <c r="N377" s="28"/>
      <c r="O377" s="28" t="s">
        <v>39</v>
      </c>
      <c r="P377" s="25" t="s">
        <v>20</v>
      </c>
    </row>
    <row r="378" spans="1:17" x14ac:dyDescent="0.25">
      <c r="A378" s="23">
        <f t="shared" si="20"/>
        <v>377</v>
      </c>
      <c r="B378" s="24">
        <v>43042</v>
      </c>
      <c r="C378" s="18" t="str">
        <f t="shared" si="21"/>
        <v>Friday</v>
      </c>
      <c r="D378" s="10" t="str">
        <f t="shared" si="22"/>
        <v>Same</v>
      </c>
      <c r="E378" s="2">
        <v>19.760000000000002</v>
      </c>
      <c r="F378" s="2">
        <v>4</v>
      </c>
      <c r="G378" s="1">
        <f t="shared" si="23"/>
        <v>0.20242914979757085</v>
      </c>
      <c r="H378" s="2">
        <v>1.5</v>
      </c>
      <c r="I378" s="26">
        <v>0.7402777777777777</v>
      </c>
      <c r="J378" s="26">
        <v>0.7680555555555556</v>
      </c>
      <c r="K378" s="27">
        <f>Table3[[#This Row],[Delivery Time]]-Table3[[#This Row],[Order Time]]</f>
        <v>2.7777777777777901E-2</v>
      </c>
      <c r="L378" s="43">
        <v>40</v>
      </c>
      <c r="M378" s="25" t="s">
        <v>11</v>
      </c>
      <c r="N378" s="28"/>
      <c r="O378" s="28" t="s">
        <v>39</v>
      </c>
      <c r="P378" s="25" t="s">
        <v>20</v>
      </c>
    </row>
    <row r="379" spans="1:17" x14ac:dyDescent="0.25">
      <c r="A379" s="23">
        <f t="shared" si="20"/>
        <v>378</v>
      </c>
      <c r="B379" s="24">
        <v>43042</v>
      </c>
      <c r="C379" s="18" t="str">
        <f t="shared" si="21"/>
        <v>Friday</v>
      </c>
      <c r="D379" s="10" t="str">
        <f t="shared" si="22"/>
        <v>Same</v>
      </c>
      <c r="E379" s="2">
        <v>35.72</v>
      </c>
      <c r="F379" s="2">
        <v>7</v>
      </c>
      <c r="G379" s="1">
        <f t="shared" si="23"/>
        <v>0.19596864501679731</v>
      </c>
      <c r="H379" s="2">
        <v>1.5</v>
      </c>
      <c r="I379" s="26">
        <v>0.79166666666666663</v>
      </c>
      <c r="J379" s="26">
        <v>0.82013888888888886</v>
      </c>
      <c r="K379" s="27">
        <f>Table3[[#This Row],[Delivery Time]]-Table3[[#This Row],[Order Time]]</f>
        <v>2.8472222222222232E-2</v>
      </c>
      <c r="L379" s="43">
        <v>41</v>
      </c>
      <c r="M379" s="25" t="s">
        <v>12</v>
      </c>
      <c r="N379" s="28"/>
      <c r="O379" s="28" t="s">
        <v>39</v>
      </c>
      <c r="P379" s="25" t="s">
        <v>20</v>
      </c>
    </row>
    <row r="380" spans="1:17" x14ac:dyDescent="0.25">
      <c r="A380" s="23">
        <f t="shared" si="20"/>
        <v>379</v>
      </c>
      <c r="B380" s="24">
        <v>43042</v>
      </c>
      <c r="C380" s="18" t="str">
        <f t="shared" si="21"/>
        <v>Friday</v>
      </c>
      <c r="D380" s="10" t="str">
        <f t="shared" si="22"/>
        <v>Same</v>
      </c>
      <c r="E380" s="2">
        <v>82.05</v>
      </c>
      <c r="F380" s="2">
        <v>12</v>
      </c>
      <c r="G380" s="1">
        <f t="shared" si="23"/>
        <v>0.14625228519195613</v>
      </c>
      <c r="H380" s="2">
        <v>1.5</v>
      </c>
      <c r="I380" s="26">
        <v>0.79652777777777783</v>
      </c>
      <c r="J380" s="26">
        <v>0.83194444444444438</v>
      </c>
      <c r="K380" s="27">
        <f>Table3[[#This Row],[Delivery Time]]-Table3[[#This Row],[Order Time]]</f>
        <v>3.5416666666666541E-2</v>
      </c>
      <c r="L380" s="43">
        <v>51</v>
      </c>
      <c r="M380" s="25" t="s">
        <v>0</v>
      </c>
      <c r="N380" s="28"/>
      <c r="O380" s="28" t="s">
        <v>39</v>
      </c>
      <c r="P380" s="25" t="s">
        <v>20</v>
      </c>
    </row>
    <row r="381" spans="1:17" x14ac:dyDescent="0.25">
      <c r="A381" s="23">
        <f t="shared" si="20"/>
        <v>380</v>
      </c>
      <c r="B381" s="24">
        <v>43042</v>
      </c>
      <c r="C381" s="18" t="str">
        <f t="shared" si="21"/>
        <v>Friday</v>
      </c>
      <c r="D381" s="10" t="str">
        <f t="shared" si="22"/>
        <v>Same</v>
      </c>
      <c r="E381" s="2">
        <v>55.69</v>
      </c>
      <c r="F381" s="2">
        <v>5</v>
      </c>
      <c r="G381" s="1">
        <f t="shared" si="23"/>
        <v>8.9782725803555397E-2</v>
      </c>
      <c r="H381" s="2">
        <v>1.5</v>
      </c>
      <c r="I381" s="26">
        <v>0.79791666666666661</v>
      </c>
      <c r="J381" s="26">
        <v>0.83611111111111114</v>
      </c>
      <c r="K381" s="27">
        <f>Table3[[#This Row],[Delivery Time]]-Table3[[#This Row],[Order Time]]</f>
        <v>3.8194444444444531E-2</v>
      </c>
      <c r="L381" s="43">
        <v>54.999999999999993</v>
      </c>
      <c r="M381" s="25" t="s">
        <v>0</v>
      </c>
      <c r="N381" s="28" t="s">
        <v>26</v>
      </c>
      <c r="O381" s="28" t="s">
        <v>39</v>
      </c>
      <c r="P381" s="25" t="s">
        <v>20</v>
      </c>
    </row>
    <row r="382" spans="1:17" x14ac:dyDescent="0.25">
      <c r="A382" s="23">
        <f t="shared" si="20"/>
        <v>381</v>
      </c>
      <c r="B382" s="24">
        <v>43042</v>
      </c>
      <c r="C382" s="18" t="str">
        <f t="shared" si="21"/>
        <v>Friday</v>
      </c>
      <c r="D382" s="10" t="str">
        <f t="shared" si="22"/>
        <v>Same</v>
      </c>
      <c r="E382" s="2">
        <v>65.17</v>
      </c>
      <c r="F382" s="2">
        <v>16</v>
      </c>
      <c r="G382" s="1">
        <f t="shared" si="23"/>
        <v>0.24551173852999847</v>
      </c>
      <c r="H382" s="2">
        <v>1.5</v>
      </c>
      <c r="I382" s="26">
        <v>0.8041666666666667</v>
      </c>
      <c r="J382" s="26">
        <v>0.84444444444444444</v>
      </c>
      <c r="K382" s="27">
        <f>Table3[[#This Row],[Delivery Time]]-Table3[[#This Row],[Order Time]]</f>
        <v>4.0277777777777746E-2</v>
      </c>
      <c r="L382" s="43">
        <v>58.000000000000007</v>
      </c>
      <c r="M382" s="25" t="s">
        <v>0</v>
      </c>
      <c r="N382" s="28" t="s">
        <v>22</v>
      </c>
      <c r="O382" s="28" t="s">
        <v>39</v>
      </c>
      <c r="P382" s="25" t="s">
        <v>20</v>
      </c>
    </row>
    <row r="383" spans="1:17" x14ac:dyDescent="0.25">
      <c r="A383" s="23">
        <f t="shared" si="20"/>
        <v>382</v>
      </c>
      <c r="B383" s="24">
        <v>43042</v>
      </c>
      <c r="C383" s="18" t="str">
        <f t="shared" si="21"/>
        <v>Friday</v>
      </c>
      <c r="D383" s="10" t="str">
        <f t="shared" si="22"/>
        <v>Same</v>
      </c>
      <c r="E383" s="2">
        <v>111.61</v>
      </c>
      <c r="F383" s="2">
        <v>15</v>
      </c>
      <c r="G383" s="1">
        <f t="shared" si="23"/>
        <v>0.13439655944807813</v>
      </c>
      <c r="H383" s="2">
        <v>1.5</v>
      </c>
      <c r="I383" s="26">
        <v>0.84305555555555556</v>
      </c>
      <c r="J383" s="26">
        <v>0.87083333333333324</v>
      </c>
      <c r="K383" s="27">
        <f>Table3[[#This Row],[Delivery Time]]-Table3[[#This Row],[Order Time]]</f>
        <v>2.7777777777777679E-2</v>
      </c>
      <c r="L383" s="43">
        <v>40</v>
      </c>
      <c r="M383" s="25" t="s">
        <v>11</v>
      </c>
      <c r="N383" s="28"/>
      <c r="O383" s="28" t="s">
        <v>42</v>
      </c>
      <c r="P383" s="25" t="s">
        <v>20</v>
      </c>
    </row>
    <row r="384" spans="1:17" x14ac:dyDescent="0.25">
      <c r="A384" s="23">
        <f t="shared" si="20"/>
        <v>383</v>
      </c>
      <c r="B384" s="24">
        <v>43042</v>
      </c>
      <c r="C384" s="18" t="str">
        <f t="shared" si="21"/>
        <v>Friday</v>
      </c>
      <c r="D384" s="10" t="str">
        <f t="shared" si="22"/>
        <v>Same</v>
      </c>
      <c r="E384" s="2">
        <v>97.8</v>
      </c>
      <c r="F384" s="2">
        <v>15</v>
      </c>
      <c r="G384" s="1">
        <f t="shared" si="23"/>
        <v>0.15337423312883436</v>
      </c>
      <c r="H384" s="2">
        <v>1.5</v>
      </c>
      <c r="I384" s="26">
        <v>0.84027777777777779</v>
      </c>
      <c r="J384" s="26">
        <v>0.88124999999999998</v>
      </c>
      <c r="K384" s="27">
        <f>Table3[[#This Row],[Delivery Time]]-Table3[[#This Row],[Order Time]]</f>
        <v>4.0972222222222188E-2</v>
      </c>
      <c r="L384" s="43">
        <v>59</v>
      </c>
      <c r="M384" s="25" t="s">
        <v>11</v>
      </c>
      <c r="N384" s="28"/>
      <c r="O384" s="28" t="s">
        <v>39</v>
      </c>
      <c r="P384" s="25" t="s">
        <v>20</v>
      </c>
    </row>
    <row r="385" spans="1:16" x14ac:dyDescent="0.25">
      <c r="A385" s="23">
        <f t="shared" si="20"/>
        <v>384</v>
      </c>
      <c r="B385" s="24">
        <v>43042</v>
      </c>
      <c r="C385" s="18" t="str">
        <f t="shared" si="21"/>
        <v>Friday</v>
      </c>
      <c r="D385" s="10" t="str">
        <f t="shared" si="22"/>
        <v>Same</v>
      </c>
      <c r="E385" s="2">
        <v>22.41</v>
      </c>
      <c r="F385" s="2">
        <v>5</v>
      </c>
      <c r="G385" s="1">
        <f t="shared" si="23"/>
        <v>0.22311468094600626</v>
      </c>
      <c r="H385" s="2">
        <v>1.5</v>
      </c>
      <c r="I385" s="26">
        <v>0.85138888888888886</v>
      </c>
      <c r="J385" s="26">
        <v>0.88611111111111107</v>
      </c>
      <c r="K385" s="27">
        <f>Table3[[#This Row],[Delivery Time]]-Table3[[#This Row],[Order Time]]</f>
        <v>3.472222222222221E-2</v>
      </c>
      <c r="L385" s="43">
        <v>50</v>
      </c>
      <c r="M385" s="25" t="s">
        <v>11</v>
      </c>
      <c r="N385" s="28"/>
      <c r="O385" s="28" t="s">
        <v>39</v>
      </c>
      <c r="P385" s="25" t="s">
        <v>20</v>
      </c>
    </row>
    <row r="386" spans="1:16" x14ac:dyDescent="0.25">
      <c r="A386" s="23">
        <f t="shared" si="20"/>
        <v>385</v>
      </c>
      <c r="B386" s="24">
        <v>43043</v>
      </c>
      <c r="C386" s="18" t="str">
        <f t="shared" si="21"/>
        <v>Saturday</v>
      </c>
      <c r="D386" s="10" t="str">
        <f t="shared" si="22"/>
        <v>Different</v>
      </c>
      <c r="E386" s="2">
        <v>60.62</v>
      </c>
      <c r="F386" s="2">
        <v>10</v>
      </c>
      <c r="G386" s="1">
        <f t="shared" si="23"/>
        <v>0.16496205872649292</v>
      </c>
      <c r="H386" s="2">
        <v>1.5</v>
      </c>
      <c r="I386" s="26">
        <v>0.73541666666666661</v>
      </c>
      <c r="J386" s="26">
        <v>0.75416666666666676</v>
      </c>
      <c r="K386" s="27">
        <f>Table3[[#This Row],[Delivery Time]]-Table3[[#This Row],[Order Time]]</f>
        <v>1.8750000000000155E-2</v>
      </c>
      <c r="L386" s="43">
        <v>26.999999999999996</v>
      </c>
      <c r="M386" s="25" t="s">
        <v>0</v>
      </c>
      <c r="N386" s="28"/>
      <c r="O386" s="28" t="s">
        <v>40</v>
      </c>
      <c r="P386" s="25" t="s">
        <v>20</v>
      </c>
    </row>
    <row r="387" spans="1:16" x14ac:dyDescent="0.25">
      <c r="A387" s="23">
        <f t="shared" si="20"/>
        <v>386</v>
      </c>
      <c r="B387" s="24">
        <v>43043</v>
      </c>
      <c r="C387" s="18" t="str">
        <f t="shared" si="21"/>
        <v>Saturday</v>
      </c>
      <c r="D387" s="10" t="str">
        <f t="shared" si="22"/>
        <v>Same</v>
      </c>
      <c r="E387" s="2">
        <v>23.76</v>
      </c>
      <c r="F387" s="2">
        <v>3</v>
      </c>
      <c r="G387" s="1">
        <f t="shared" si="23"/>
        <v>0.12626262626262624</v>
      </c>
      <c r="H387" s="2">
        <v>1.5</v>
      </c>
      <c r="I387" s="26">
        <v>0.73819444444444438</v>
      </c>
      <c r="J387" s="26">
        <v>0.76597222222222217</v>
      </c>
      <c r="K387" s="27">
        <f>Table3[[#This Row],[Delivery Time]]-Table3[[#This Row],[Order Time]]</f>
        <v>2.777777777777779E-2</v>
      </c>
      <c r="L387" s="43">
        <v>40</v>
      </c>
      <c r="M387" s="25" t="s">
        <v>0</v>
      </c>
      <c r="N387" s="28"/>
      <c r="O387" s="28" t="s">
        <v>41</v>
      </c>
      <c r="P387" s="25" t="s">
        <v>20</v>
      </c>
    </row>
    <row r="388" spans="1:16" x14ac:dyDescent="0.25">
      <c r="A388" s="23">
        <f t="shared" si="20"/>
        <v>387</v>
      </c>
      <c r="B388" s="24">
        <v>43043</v>
      </c>
      <c r="C388" s="18" t="str">
        <f t="shared" si="21"/>
        <v>Saturday</v>
      </c>
      <c r="D388" s="10" t="str">
        <f t="shared" si="22"/>
        <v>Same</v>
      </c>
      <c r="E388" s="2">
        <v>26.74</v>
      </c>
      <c r="F388" s="2">
        <v>4</v>
      </c>
      <c r="G388" s="1">
        <f t="shared" si="23"/>
        <v>0.14958863126402394</v>
      </c>
      <c r="H388" s="2">
        <v>1.5</v>
      </c>
      <c r="I388" s="26">
        <v>0.78402777777777777</v>
      </c>
      <c r="J388" s="26">
        <v>0.81111111111111101</v>
      </c>
      <c r="K388" s="27">
        <f>Table3[[#This Row],[Delivery Time]]-Table3[[#This Row],[Order Time]]</f>
        <v>2.7083333333333237E-2</v>
      </c>
      <c r="L388" s="43">
        <v>39</v>
      </c>
      <c r="M388" s="25" t="s">
        <v>0</v>
      </c>
      <c r="N388" s="28"/>
      <c r="O388" s="28" t="s">
        <v>39</v>
      </c>
      <c r="P388" s="25" t="s">
        <v>20</v>
      </c>
    </row>
    <row r="389" spans="1:16" x14ac:dyDescent="0.25">
      <c r="A389" s="23">
        <f t="shared" si="20"/>
        <v>388</v>
      </c>
      <c r="B389" s="24">
        <v>43043</v>
      </c>
      <c r="C389" s="18" t="str">
        <f t="shared" si="21"/>
        <v>Saturday</v>
      </c>
      <c r="D389" s="10" t="str">
        <f t="shared" si="22"/>
        <v>Same</v>
      </c>
      <c r="E389" s="2">
        <v>24.3</v>
      </c>
      <c r="F389" s="2">
        <v>4</v>
      </c>
      <c r="G389" s="1">
        <f t="shared" si="23"/>
        <v>0.16460905349794239</v>
      </c>
      <c r="H389" s="2">
        <v>1.5</v>
      </c>
      <c r="I389" s="26">
        <v>0.78125</v>
      </c>
      <c r="J389" s="26">
        <v>0.81805555555555554</v>
      </c>
      <c r="K389" s="27">
        <f>Table3[[#This Row],[Delivery Time]]-Table3[[#This Row],[Order Time]]</f>
        <v>3.6805555555555536E-2</v>
      </c>
      <c r="L389" s="43">
        <v>53</v>
      </c>
      <c r="M389" s="25" t="s">
        <v>0</v>
      </c>
      <c r="N389" s="28"/>
      <c r="O389" s="28" t="s">
        <v>39</v>
      </c>
      <c r="P389" s="25" t="s">
        <v>20</v>
      </c>
    </row>
    <row r="390" spans="1:16" x14ac:dyDescent="0.25">
      <c r="A390" s="23">
        <f t="shared" ref="A390:A453" si="24">ROW(A389)</f>
        <v>389</v>
      </c>
      <c r="B390" s="24">
        <v>43043</v>
      </c>
      <c r="C390" s="18" t="str">
        <f t="shared" ref="C390:C453" si="25">TEXT(B390,"dddd")</f>
        <v>Saturday</v>
      </c>
      <c r="D390" s="10" t="str">
        <f t="shared" ref="D390:D453" si="26">IF(B389=B390, "Same", "Different")</f>
        <v>Same</v>
      </c>
      <c r="E390" s="2">
        <v>51.58</v>
      </c>
      <c r="F390" s="2">
        <v>4</v>
      </c>
      <c r="G390" s="1">
        <f t="shared" ref="G390:G453" si="27">F390/E390</f>
        <v>7.754943776657619E-2</v>
      </c>
      <c r="H390" s="2">
        <v>1.5</v>
      </c>
      <c r="I390" s="26">
        <v>0.7895833333333333</v>
      </c>
      <c r="J390" s="26">
        <v>0.82152777777777775</v>
      </c>
      <c r="K390" s="27">
        <f>Table3[[#This Row],[Delivery Time]]-Table3[[#This Row],[Order Time]]</f>
        <v>3.1944444444444442E-2</v>
      </c>
      <c r="L390" s="43">
        <v>46.000000000000007</v>
      </c>
      <c r="M390" s="25" t="s">
        <v>0</v>
      </c>
      <c r="N390" s="28"/>
      <c r="O390" s="28" t="s">
        <v>39</v>
      </c>
      <c r="P390" s="25" t="s">
        <v>20</v>
      </c>
    </row>
    <row r="391" spans="1:16" x14ac:dyDescent="0.25">
      <c r="A391" s="23">
        <f t="shared" si="24"/>
        <v>390</v>
      </c>
      <c r="B391" s="24">
        <v>43043</v>
      </c>
      <c r="C391" s="18" t="str">
        <f t="shared" si="25"/>
        <v>Saturday</v>
      </c>
      <c r="D391" s="10" t="str">
        <f t="shared" si="26"/>
        <v>Same</v>
      </c>
      <c r="E391" s="2">
        <v>54.67</v>
      </c>
      <c r="F391" s="2">
        <v>10.33</v>
      </c>
      <c r="G391" s="1">
        <f t="shared" si="27"/>
        <v>0.18895189317724528</v>
      </c>
      <c r="H391" s="2">
        <v>5</v>
      </c>
      <c r="I391" s="26">
        <v>0.78402777777777777</v>
      </c>
      <c r="J391" s="26">
        <v>0.83611111111111114</v>
      </c>
      <c r="K391" s="27">
        <f>Table3[[#This Row],[Delivery Time]]-Table3[[#This Row],[Order Time]]</f>
        <v>5.208333333333337E-2</v>
      </c>
      <c r="L391" s="43">
        <v>75</v>
      </c>
      <c r="M391" s="25" t="s">
        <v>27</v>
      </c>
      <c r="N391" s="28"/>
      <c r="O391" s="28" t="s">
        <v>39</v>
      </c>
      <c r="P391" s="25" t="s">
        <v>20</v>
      </c>
    </row>
    <row r="392" spans="1:16" x14ac:dyDescent="0.25">
      <c r="A392" s="23">
        <f t="shared" si="24"/>
        <v>391</v>
      </c>
      <c r="B392" s="24">
        <v>43044</v>
      </c>
      <c r="C392" s="18" t="str">
        <f t="shared" si="25"/>
        <v>Sunday</v>
      </c>
      <c r="D392" s="10" t="str">
        <f t="shared" si="26"/>
        <v>Different</v>
      </c>
      <c r="E392" s="2">
        <v>50.77</v>
      </c>
      <c r="F392" s="2">
        <v>8</v>
      </c>
      <c r="G392" s="1">
        <f t="shared" si="27"/>
        <v>0.15757337010045303</v>
      </c>
      <c r="H392" s="2">
        <v>1.5</v>
      </c>
      <c r="I392" s="26">
        <v>0.69444444444444453</v>
      </c>
      <c r="J392" s="26">
        <v>0.72152777777777777</v>
      </c>
      <c r="K392" s="27">
        <f>Table3[[#This Row],[Delivery Time]]-Table3[[#This Row],[Order Time]]</f>
        <v>2.7083333333333237E-2</v>
      </c>
      <c r="L392" s="43">
        <v>39</v>
      </c>
      <c r="M392" s="25" t="s">
        <v>0</v>
      </c>
      <c r="N392" s="28" t="s">
        <v>22</v>
      </c>
      <c r="O392" s="28" t="s">
        <v>39</v>
      </c>
      <c r="P392" s="25" t="s">
        <v>20</v>
      </c>
    </row>
    <row r="393" spans="1:16" x14ac:dyDescent="0.25">
      <c r="A393" s="23">
        <f t="shared" si="24"/>
        <v>392</v>
      </c>
      <c r="B393" s="24">
        <v>43044</v>
      </c>
      <c r="C393" s="18" t="str">
        <f t="shared" si="25"/>
        <v>Sunday</v>
      </c>
      <c r="D393" s="10" t="str">
        <f t="shared" si="26"/>
        <v>Same</v>
      </c>
      <c r="E393" s="2">
        <v>33.22</v>
      </c>
      <c r="F393" s="2">
        <v>11</v>
      </c>
      <c r="G393" s="1">
        <f t="shared" si="27"/>
        <v>0.33112582781456956</v>
      </c>
      <c r="H393" s="2">
        <v>1.5</v>
      </c>
      <c r="I393" s="26">
        <v>0.69791666666666663</v>
      </c>
      <c r="J393" s="26">
        <v>0.73055555555555562</v>
      </c>
      <c r="K393" s="27">
        <f>Table3[[#This Row],[Delivery Time]]-Table3[[#This Row],[Order Time]]</f>
        <v>3.2638888888888995E-2</v>
      </c>
      <c r="L393" s="43">
        <v>47.000000000000007</v>
      </c>
      <c r="M393" s="25" t="s">
        <v>0</v>
      </c>
      <c r="N393" s="28"/>
      <c r="O393" s="28" t="s">
        <v>39</v>
      </c>
      <c r="P393" s="25" t="s">
        <v>20</v>
      </c>
    </row>
    <row r="394" spans="1:16" x14ac:dyDescent="0.25">
      <c r="A394" s="23">
        <f t="shared" si="24"/>
        <v>393</v>
      </c>
      <c r="B394" s="24">
        <v>43044</v>
      </c>
      <c r="C394" s="18" t="str">
        <f t="shared" si="25"/>
        <v>Sunday</v>
      </c>
      <c r="D394" s="10" t="str">
        <f t="shared" si="26"/>
        <v>Same</v>
      </c>
      <c r="E394" s="2">
        <v>40.590000000000003</v>
      </c>
      <c r="F394" s="2">
        <v>7</v>
      </c>
      <c r="G394" s="1">
        <f t="shared" si="27"/>
        <v>0.17245627001724562</v>
      </c>
      <c r="H394" s="2">
        <v>5</v>
      </c>
      <c r="I394" s="26">
        <v>0.69652777777777775</v>
      </c>
      <c r="J394" s="26">
        <v>0.73819444444444438</v>
      </c>
      <c r="K394" s="27">
        <f>Table3[[#This Row],[Delivery Time]]-Table3[[#This Row],[Order Time]]</f>
        <v>4.166666666666663E-2</v>
      </c>
      <c r="L394" s="43">
        <v>60</v>
      </c>
      <c r="M394" s="25" t="s">
        <v>0</v>
      </c>
      <c r="N394" s="28"/>
      <c r="O394" s="28" t="s">
        <v>39</v>
      </c>
      <c r="P394" s="25" t="s">
        <v>20</v>
      </c>
    </row>
    <row r="395" spans="1:16" x14ac:dyDescent="0.25">
      <c r="A395" s="23">
        <f t="shared" si="24"/>
        <v>394</v>
      </c>
      <c r="B395" s="24">
        <v>43044</v>
      </c>
      <c r="C395" s="18" t="str">
        <f t="shared" si="25"/>
        <v>Sunday</v>
      </c>
      <c r="D395" s="10" t="str">
        <f t="shared" si="26"/>
        <v>Same</v>
      </c>
      <c r="E395" s="2">
        <v>35.18</v>
      </c>
      <c r="F395" s="2">
        <v>3</v>
      </c>
      <c r="G395" s="1">
        <f t="shared" si="27"/>
        <v>8.5275724843661166E-2</v>
      </c>
      <c r="H395" s="2">
        <v>1.5</v>
      </c>
      <c r="I395" s="26">
        <v>0.75347222222222221</v>
      </c>
      <c r="J395" s="26">
        <v>0.78333333333333333</v>
      </c>
      <c r="K395" s="27">
        <f>Table3[[#This Row],[Delivery Time]]-Table3[[#This Row],[Order Time]]</f>
        <v>2.9861111111111116E-2</v>
      </c>
      <c r="L395" s="43">
        <v>43</v>
      </c>
      <c r="M395" s="25" t="s">
        <v>0</v>
      </c>
      <c r="N395" s="28"/>
      <c r="O395" s="28" t="s">
        <v>39</v>
      </c>
      <c r="P395" s="25" t="s">
        <v>20</v>
      </c>
    </row>
    <row r="396" spans="1:16" x14ac:dyDescent="0.25">
      <c r="A396" s="23">
        <f t="shared" si="24"/>
        <v>395</v>
      </c>
      <c r="B396" s="24">
        <v>43044</v>
      </c>
      <c r="C396" s="18" t="str">
        <f t="shared" si="25"/>
        <v>Sunday</v>
      </c>
      <c r="D396" s="10" t="str">
        <f t="shared" si="26"/>
        <v>Same</v>
      </c>
      <c r="E396" s="2">
        <v>17.86</v>
      </c>
      <c r="F396" s="2">
        <v>3</v>
      </c>
      <c r="G396" s="1">
        <f t="shared" si="27"/>
        <v>0.16797312430011199</v>
      </c>
      <c r="H396" s="2">
        <v>5</v>
      </c>
      <c r="I396" s="26">
        <v>0.7680555555555556</v>
      </c>
      <c r="J396" s="26">
        <v>0.7909722222222223</v>
      </c>
      <c r="K396" s="27">
        <f>Table3[[#This Row],[Delivery Time]]-Table3[[#This Row],[Order Time]]</f>
        <v>2.2916666666666696E-2</v>
      </c>
      <c r="L396" s="43">
        <v>33</v>
      </c>
      <c r="M396" s="25" t="s">
        <v>0</v>
      </c>
      <c r="N396" s="28"/>
      <c r="O396" s="28" t="s">
        <v>39</v>
      </c>
      <c r="P396" s="25" t="s">
        <v>20</v>
      </c>
    </row>
    <row r="397" spans="1:16" x14ac:dyDescent="0.25">
      <c r="A397" s="23">
        <f t="shared" si="24"/>
        <v>396</v>
      </c>
      <c r="B397" s="24">
        <v>43044</v>
      </c>
      <c r="C397" s="18" t="str">
        <f t="shared" si="25"/>
        <v>Sunday</v>
      </c>
      <c r="D397" s="10" t="str">
        <f t="shared" si="26"/>
        <v>Same</v>
      </c>
      <c r="E397" s="2">
        <v>54.02</v>
      </c>
      <c r="F397" s="2">
        <v>20</v>
      </c>
      <c r="G397" s="1">
        <f t="shared" si="27"/>
        <v>0.37023324694557569</v>
      </c>
      <c r="H397" s="2">
        <v>5</v>
      </c>
      <c r="I397" s="26">
        <v>0.7631944444444444</v>
      </c>
      <c r="J397" s="26">
        <v>0.8027777777777777</v>
      </c>
      <c r="K397" s="27">
        <f>Table3[[#This Row],[Delivery Time]]-Table3[[#This Row],[Order Time]]</f>
        <v>3.9583333333333304E-2</v>
      </c>
      <c r="L397" s="43">
        <v>57</v>
      </c>
      <c r="M397" s="25" t="s">
        <v>0</v>
      </c>
      <c r="N397" s="28"/>
      <c r="O397" s="28" t="s">
        <v>39</v>
      </c>
      <c r="P397" s="25" t="s">
        <v>20</v>
      </c>
    </row>
    <row r="398" spans="1:16" x14ac:dyDescent="0.25">
      <c r="A398" s="23">
        <f t="shared" si="24"/>
        <v>397</v>
      </c>
      <c r="B398" s="24">
        <v>43044</v>
      </c>
      <c r="C398" s="18" t="str">
        <f t="shared" si="25"/>
        <v>Sunday</v>
      </c>
      <c r="D398" s="10" t="str">
        <f t="shared" si="26"/>
        <v>Same</v>
      </c>
      <c r="E398" s="2">
        <v>35.67</v>
      </c>
      <c r="F398" s="2">
        <v>4.33</v>
      </c>
      <c r="G398" s="1">
        <f t="shared" si="27"/>
        <v>0.12139052425007009</v>
      </c>
      <c r="H398" s="2">
        <v>1.5</v>
      </c>
      <c r="I398" s="26">
        <v>0.81597222222222221</v>
      </c>
      <c r="J398" s="26">
        <v>0.82916666666666661</v>
      </c>
      <c r="K398" s="27">
        <f>Table3[[#This Row],[Delivery Time]]-Table3[[#This Row],[Order Time]]</f>
        <v>1.3194444444444398E-2</v>
      </c>
      <c r="L398" s="43">
        <v>19</v>
      </c>
      <c r="M398" s="25" t="s">
        <v>11</v>
      </c>
      <c r="N398" s="28"/>
      <c r="O398" s="28" t="s">
        <v>39</v>
      </c>
      <c r="P398" s="25" t="s">
        <v>20</v>
      </c>
    </row>
    <row r="399" spans="1:16" x14ac:dyDescent="0.25">
      <c r="A399" s="23">
        <f t="shared" si="24"/>
        <v>398</v>
      </c>
      <c r="B399" s="24">
        <v>43044</v>
      </c>
      <c r="C399" s="18" t="str">
        <f t="shared" si="25"/>
        <v>Sunday</v>
      </c>
      <c r="D399" s="10" t="str">
        <f t="shared" si="26"/>
        <v>Same</v>
      </c>
      <c r="E399" s="2">
        <v>29.71</v>
      </c>
      <c r="F399" s="2">
        <v>5.29</v>
      </c>
      <c r="G399" s="1">
        <f t="shared" si="27"/>
        <v>0.17805452709525413</v>
      </c>
      <c r="H399" s="2">
        <v>1.5</v>
      </c>
      <c r="I399" s="26">
        <v>0.81111111111111101</v>
      </c>
      <c r="J399" s="26">
        <v>0.83680555555555547</v>
      </c>
      <c r="K399" s="27">
        <f>Table3[[#This Row],[Delivery Time]]-Table3[[#This Row],[Order Time]]</f>
        <v>2.5694444444444464E-2</v>
      </c>
      <c r="L399" s="43">
        <v>37</v>
      </c>
      <c r="M399" s="25" t="s">
        <v>0</v>
      </c>
      <c r="N399" s="28"/>
      <c r="O399" s="28" t="s">
        <v>39</v>
      </c>
      <c r="P399" s="25" t="s">
        <v>20</v>
      </c>
    </row>
    <row r="400" spans="1:16" x14ac:dyDescent="0.25">
      <c r="A400" s="23">
        <f t="shared" si="24"/>
        <v>399</v>
      </c>
      <c r="B400" s="24">
        <v>43044</v>
      </c>
      <c r="C400" s="18" t="str">
        <f t="shared" si="25"/>
        <v>Sunday</v>
      </c>
      <c r="D400" s="10" t="str">
        <f t="shared" si="26"/>
        <v>Same</v>
      </c>
      <c r="E400" s="2">
        <v>51.91</v>
      </c>
      <c r="F400" s="2">
        <v>10</v>
      </c>
      <c r="G400" s="1">
        <f t="shared" si="27"/>
        <v>0.19264110961279138</v>
      </c>
      <c r="H400" s="2">
        <v>1.5</v>
      </c>
      <c r="I400" s="26">
        <v>0.8125</v>
      </c>
      <c r="J400" s="26">
        <v>0.84375</v>
      </c>
      <c r="K400" s="27">
        <f>Table3[[#This Row],[Delivery Time]]-Table3[[#This Row],[Order Time]]</f>
        <v>3.125E-2</v>
      </c>
      <c r="L400" s="43">
        <v>45</v>
      </c>
      <c r="M400" s="25" t="s">
        <v>0</v>
      </c>
      <c r="N400" s="28"/>
      <c r="O400" s="28" t="s">
        <v>39</v>
      </c>
      <c r="P400" s="25" t="s">
        <v>20</v>
      </c>
    </row>
    <row r="401" spans="1:16" x14ac:dyDescent="0.25">
      <c r="A401" s="23">
        <f t="shared" si="24"/>
        <v>400</v>
      </c>
      <c r="B401" s="24">
        <v>43049</v>
      </c>
      <c r="C401" s="18" t="str">
        <f t="shared" si="25"/>
        <v>Friday</v>
      </c>
      <c r="D401" s="10" t="str">
        <f t="shared" si="26"/>
        <v>Different</v>
      </c>
      <c r="E401" s="2">
        <v>75.989999999999995</v>
      </c>
      <c r="F401" s="2">
        <v>14.01</v>
      </c>
      <c r="G401" s="1">
        <f t="shared" si="27"/>
        <v>0.18436636399526254</v>
      </c>
      <c r="H401" s="2">
        <v>1.5</v>
      </c>
      <c r="I401" s="26">
        <v>0.72986111111111107</v>
      </c>
      <c r="J401" s="26">
        <v>0.74791666666666667</v>
      </c>
      <c r="K401" s="27">
        <f>Table3[[#This Row],[Delivery Time]]-Table3[[#This Row],[Order Time]]</f>
        <v>1.8055555555555602E-2</v>
      </c>
      <c r="L401" s="43">
        <v>26</v>
      </c>
      <c r="M401" s="25" t="s">
        <v>11</v>
      </c>
      <c r="N401" s="28"/>
      <c r="O401" s="28" t="s">
        <v>39</v>
      </c>
      <c r="P401" s="25" t="s">
        <v>20</v>
      </c>
    </row>
    <row r="402" spans="1:16" x14ac:dyDescent="0.25">
      <c r="A402" s="23">
        <f t="shared" si="24"/>
        <v>401</v>
      </c>
      <c r="B402" s="24">
        <v>43049</v>
      </c>
      <c r="C402" s="18" t="str">
        <f t="shared" si="25"/>
        <v>Friday</v>
      </c>
      <c r="D402" s="10" t="str">
        <f t="shared" si="26"/>
        <v>Same</v>
      </c>
      <c r="E402" s="2">
        <v>15.16</v>
      </c>
      <c r="F402" s="2">
        <v>3</v>
      </c>
      <c r="G402" s="1">
        <f t="shared" si="27"/>
        <v>0.19788918205804748</v>
      </c>
      <c r="H402" s="2">
        <v>1.5</v>
      </c>
      <c r="I402" s="26">
        <v>0.72986111111111107</v>
      </c>
      <c r="J402" s="26">
        <v>0.75277777777777777</v>
      </c>
      <c r="K402" s="27">
        <f>Table3[[#This Row],[Delivery Time]]-Table3[[#This Row],[Order Time]]</f>
        <v>2.2916666666666696E-2</v>
      </c>
      <c r="L402" s="43">
        <v>33</v>
      </c>
      <c r="M402" s="25" t="s">
        <v>11</v>
      </c>
      <c r="N402" s="28"/>
      <c r="O402" s="28" t="s">
        <v>39</v>
      </c>
      <c r="P402" s="25" t="s">
        <v>20</v>
      </c>
    </row>
    <row r="403" spans="1:16" x14ac:dyDescent="0.25">
      <c r="A403" s="23">
        <f t="shared" si="24"/>
        <v>402</v>
      </c>
      <c r="B403" s="24">
        <v>43049</v>
      </c>
      <c r="C403" s="18" t="str">
        <f t="shared" si="25"/>
        <v>Friday</v>
      </c>
      <c r="D403" s="10" t="str">
        <f t="shared" si="26"/>
        <v>Same</v>
      </c>
      <c r="E403" s="2">
        <v>27.55</v>
      </c>
      <c r="F403" s="2">
        <v>17.45</v>
      </c>
      <c r="G403" s="1">
        <f t="shared" si="27"/>
        <v>0.6333938294010889</v>
      </c>
      <c r="H403" s="2">
        <v>5</v>
      </c>
      <c r="I403" s="26">
        <v>0.76666666666666661</v>
      </c>
      <c r="J403" s="26">
        <v>0.78888888888888886</v>
      </c>
      <c r="K403" s="27">
        <f>Table3[[#This Row],[Delivery Time]]-Table3[[#This Row],[Order Time]]</f>
        <v>2.2222222222222254E-2</v>
      </c>
      <c r="L403" s="43">
        <v>32</v>
      </c>
      <c r="M403" s="25" t="s">
        <v>0</v>
      </c>
      <c r="N403" s="28"/>
      <c r="O403" s="28" t="s">
        <v>39</v>
      </c>
      <c r="P403" s="25" t="s">
        <v>20</v>
      </c>
    </row>
    <row r="404" spans="1:16" x14ac:dyDescent="0.25">
      <c r="A404" s="23">
        <f t="shared" si="24"/>
        <v>403</v>
      </c>
      <c r="B404" s="24">
        <v>43049</v>
      </c>
      <c r="C404" s="18" t="str">
        <f t="shared" si="25"/>
        <v>Friday</v>
      </c>
      <c r="D404" s="10" t="str">
        <f t="shared" si="26"/>
        <v>Same</v>
      </c>
      <c r="E404" s="2">
        <v>57.21</v>
      </c>
      <c r="F404" s="2">
        <v>10</v>
      </c>
      <c r="G404" s="1">
        <f t="shared" si="27"/>
        <v>0.17479461632581716</v>
      </c>
      <c r="H404" s="2">
        <v>1.5</v>
      </c>
      <c r="I404" s="26">
        <v>0.8125</v>
      </c>
      <c r="J404" s="26">
        <v>0.8125</v>
      </c>
      <c r="K404" s="27">
        <f>Table3[[#This Row],[Delivery Time]]-Table3[[#This Row],[Order Time]]</f>
        <v>0</v>
      </c>
      <c r="L404" s="43">
        <v>0</v>
      </c>
      <c r="M404" s="25" t="s">
        <v>11</v>
      </c>
      <c r="N404" s="28"/>
      <c r="O404" s="28" t="s">
        <v>39</v>
      </c>
      <c r="P404" s="25" t="s">
        <v>16</v>
      </c>
    </row>
    <row r="405" spans="1:16" x14ac:dyDescent="0.25">
      <c r="A405" s="23">
        <f t="shared" si="24"/>
        <v>404</v>
      </c>
      <c r="B405" s="24">
        <v>43049</v>
      </c>
      <c r="C405" s="18" t="str">
        <f t="shared" si="25"/>
        <v>Friday</v>
      </c>
      <c r="D405" s="10" t="str">
        <f t="shared" si="26"/>
        <v>Same</v>
      </c>
      <c r="E405" s="2">
        <v>45.68</v>
      </c>
      <c r="F405" s="2">
        <v>10</v>
      </c>
      <c r="G405" s="1">
        <f t="shared" si="27"/>
        <v>0.21891418563922943</v>
      </c>
      <c r="H405" s="2">
        <v>1.5</v>
      </c>
      <c r="I405" s="26">
        <v>0.85416666666666663</v>
      </c>
      <c r="J405" s="26">
        <v>0.87291666666666667</v>
      </c>
      <c r="K405" s="27">
        <f>Table3[[#This Row],[Delivery Time]]-Table3[[#This Row],[Order Time]]</f>
        <v>1.8750000000000044E-2</v>
      </c>
      <c r="L405" s="43">
        <v>26.999999999999996</v>
      </c>
      <c r="M405" s="25" t="s">
        <v>0</v>
      </c>
      <c r="N405" s="28" t="s">
        <v>22</v>
      </c>
      <c r="O405" s="28" t="s">
        <v>39</v>
      </c>
      <c r="P405" s="25" t="s">
        <v>20</v>
      </c>
    </row>
    <row r="406" spans="1:16" x14ac:dyDescent="0.25">
      <c r="A406" s="23">
        <f t="shared" si="24"/>
        <v>405</v>
      </c>
      <c r="B406" s="24">
        <v>43050</v>
      </c>
      <c r="C406" s="18" t="str">
        <f t="shared" si="25"/>
        <v>Saturday</v>
      </c>
      <c r="D406" s="10" t="str">
        <f t="shared" si="26"/>
        <v>Different</v>
      </c>
      <c r="E406" s="2">
        <v>32.96</v>
      </c>
      <c r="F406" s="2">
        <v>6.05</v>
      </c>
      <c r="G406" s="1">
        <f t="shared" si="27"/>
        <v>0.18355582524271843</v>
      </c>
      <c r="H406" s="2">
        <v>1.5</v>
      </c>
      <c r="I406" s="26">
        <v>0.69097222222222221</v>
      </c>
      <c r="J406" s="26">
        <v>0.71736111111111101</v>
      </c>
      <c r="K406" s="27">
        <f>Table3[[#This Row],[Delivery Time]]-Table3[[#This Row],[Order Time]]</f>
        <v>2.6388888888888795E-2</v>
      </c>
      <c r="L406" s="43">
        <v>38</v>
      </c>
      <c r="M406" s="25" t="s">
        <v>0</v>
      </c>
      <c r="N406" s="28" t="s">
        <v>25</v>
      </c>
      <c r="O406" s="28" t="s">
        <v>39</v>
      </c>
      <c r="P406" s="25" t="s">
        <v>20</v>
      </c>
    </row>
    <row r="407" spans="1:16" x14ac:dyDescent="0.25">
      <c r="A407" s="23">
        <f t="shared" si="24"/>
        <v>406</v>
      </c>
      <c r="B407" s="24">
        <v>43050</v>
      </c>
      <c r="C407" s="18" t="str">
        <f t="shared" si="25"/>
        <v>Saturday</v>
      </c>
      <c r="D407" s="10" t="str">
        <f t="shared" si="26"/>
        <v>Same</v>
      </c>
      <c r="E407" s="2">
        <v>64.84</v>
      </c>
      <c r="F407" s="2">
        <v>15.16</v>
      </c>
      <c r="G407" s="1">
        <f t="shared" si="27"/>
        <v>0.2338062924120913</v>
      </c>
      <c r="H407" s="2">
        <v>5</v>
      </c>
      <c r="I407" s="26">
        <v>0.7006944444444444</v>
      </c>
      <c r="J407" s="26">
        <v>0.72777777777777775</v>
      </c>
      <c r="K407" s="27">
        <f>Table3[[#This Row],[Delivery Time]]-Table3[[#This Row],[Order Time]]</f>
        <v>2.7083333333333348E-2</v>
      </c>
      <c r="L407" s="43">
        <v>39</v>
      </c>
      <c r="M407" s="25" t="s">
        <v>0</v>
      </c>
      <c r="N407" s="28"/>
      <c r="O407" s="28" t="s">
        <v>39</v>
      </c>
      <c r="P407" s="25" t="s">
        <v>20</v>
      </c>
    </row>
    <row r="408" spans="1:16" x14ac:dyDescent="0.25">
      <c r="A408" s="23">
        <f t="shared" si="24"/>
        <v>407</v>
      </c>
      <c r="B408" s="24">
        <v>43050</v>
      </c>
      <c r="C408" s="18" t="str">
        <f t="shared" si="25"/>
        <v>Saturday</v>
      </c>
      <c r="D408" s="10" t="str">
        <f t="shared" si="26"/>
        <v>Same</v>
      </c>
      <c r="E408" s="2">
        <v>44.38</v>
      </c>
      <c r="F408" s="2">
        <v>7</v>
      </c>
      <c r="G408" s="1">
        <f t="shared" si="27"/>
        <v>0.15772870662460567</v>
      </c>
      <c r="H408" s="2">
        <v>1.5</v>
      </c>
      <c r="I408" s="26">
        <v>0.73125000000000007</v>
      </c>
      <c r="J408" s="26">
        <v>0.75138888888888899</v>
      </c>
      <c r="K408" s="27">
        <f>Table3[[#This Row],[Delivery Time]]-Table3[[#This Row],[Order Time]]</f>
        <v>2.0138888888888928E-2</v>
      </c>
      <c r="L408" s="43">
        <v>29.000000000000004</v>
      </c>
      <c r="M408" s="25" t="s">
        <v>11</v>
      </c>
      <c r="N408" s="28"/>
      <c r="O408" s="28" t="s">
        <v>39</v>
      </c>
      <c r="P408" s="25" t="s">
        <v>20</v>
      </c>
    </row>
    <row r="409" spans="1:16" x14ac:dyDescent="0.25">
      <c r="A409" s="23">
        <f t="shared" si="24"/>
        <v>408</v>
      </c>
      <c r="B409" s="24">
        <v>43050</v>
      </c>
      <c r="C409" s="18" t="str">
        <f t="shared" si="25"/>
        <v>Saturday</v>
      </c>
      <c r="D409" s="10" t="str">
        <f t="shared" si="26"/>
        <v>Same</v>
      </c>
      <c r="E409" s="2">
        <v>33.770000000000003</v>
      </c>
      <c r="F409" s="2">
        <v>6</v>
      </c>
      <c r="G409" s="1">
        <f t="shared" si="27"/>
        <v>0.17767249037607341</v>
      </c>
      <c r="H409" s="2">
        <v>1.5</v>
      </c>
      <c r="I409" s="26">
        <v>0.74652777777777779</v>
      </c>
      <c r="J409" s="26">
        <v>0.77638888888888891</v>
      </c>
      <c r="K409" s="27">
        <f>Table3[[#This Row],[Delivery Time]]-Table3[[#This Row],[Order Time]]</f>
        <v>2.9861111111111116E-2</v>
      </c>
      <c r="L409" s="43">
        <v>43</v>
      </c>
      <c r="M409" s="25" t="s">
        <v>11</v>
      </c>
      <c r="N409" s="28"/>
      <c r="O409" s="28" t="s">
        <v>40</v>
      </c>
      <c r="P409" s="25" t="s">
        <v>20</v>
      </c>
    </row>
    <row r="410" spans="1:16" x14ac:dyDescent="0.25">
      <c r="A410" s="23">
        <f t="shared" si="24"/>
        <v>409</v>
      </c>
      <c r="B410" s="24">
        <v>43050</v>
      </c>
      <c r="C410" s="18" t="str">
        <f t="shared" si="25"/>
        <v>Saturday</v>
      </c>
      <c r="D410" s="10" t="str">
        <f t="shared" si="26"/>
        <v>Same</v>
      </c>
      <c r="E410" s="2">
        <v>35.94</v>
      </c>
      <c r="F410" s="2">
        <v>11</v>
      </c>
      <c r="G410" s="1">
        <f t="shared" si="27"/>
        <v>0.3060656649972176</v>
      </c>
      <c r="H410" s="2">
        <v>1.5</v>
      </c>
      <c r="I410" s="26">
        <v>0.75069444444444444</v>
      </c>
      <c r="J410" s="26">
        <v>0.78888888888888886</v>
      </c>
      <c r="K410" s="27">
        <f>Table3[[#This Row],[Delivery Time]]-Table3[[#This Row],[Order Time]]</f>
        <v>3.819444444444442E-2</v>
      </c>
      <c r="L410" s="43">
        <v>54.999999999999993</v>
      </c>
      <c r="M410" s="25" t="s">
        <v>11</v>
      </c>
      <c r="N410" s="28"/>
      <c r="O410" s="28" t="s">
        <v>39</v>
      </c>
      <c r="P410" s="25" t="s">
        <v>20</v>
      </c>
    </row>
    <row r="411" spans="1:16" x14ac:dyDescent="0.25">
      <c r="A411" s="23">
        <f t="shared" si="24"/>
        <v>410</v>
      </c>
      <c r="B411" s="24">
        <v>43050</v>
      </c>
      <c r="C411" s="18" t="str">
        <f t="shared" si="25"/>
        <v>Saturday</v>
      </c>
      <c r="D411" s="10" t="str">
        <f t="shared" si="26"/>
        <v>Same</v>
      </c>
      <c r="E411" s="2">
        <v>33.56</v>
      </c>
      <c r="F411" s="2">
        <v>3</v>
      </c>
      <c r="G411" s="1">
        <f t="shared" si="27"/>
        <v>8.9392133492252682E-2</v>
      </c>
      <c r="H411" s="2">
        <v>1.5</v>
      </c>
      <c r="I411" s="26">
        <v>0.75555555555555554</v>
      </c>
      <c r="J411" s="26">
        <v>0.79861111111111116</v>
      </c>
      <c r="K411" s="27">
        <f>Table3[[#This Row],[Delivery Time]]-Table3[[#This Row],[Order Time]]</f>
        <v>4.3055555555555625E-2</v>
      </c>
      <c r="L411" s="43">
        <v>62.000000000000007</v>
      </c>
      <c r="M411" s="25" t="s">
        <v>11</v>
      </c>
      <c r="N411" s="28"/>
      <c r="O411" s="28" t="s">
        <v>41</v>
      </c>
      <c r="P411" s="25" t="s">
        <v>20</v>
      </c>
    </row>
    <row r="412" spans="1:16" x14ac:dyDescent="0.25">
      <c r="A412" s="23">
        <f t="shared" si="24"/>
        <v>411</v>
      </c>
      <c r="B412" s="24">
        <v>43050</v>
      </c>
      <c r="C412" s="18" t="str">
        <f t="shared" si="25"/>
        <v>Saturday</v>
      </c>
      <c r="D412" s="10" t="str">
        <f t="shared" si="26"/>
        <v>Same</v>
      </c>
      <c r="E412" s="2">
        <v>93.26</v>
      </c>
      <c r="F412" s="2">
        <v>18</v>
      </c>
      <c r="G412" s="1">
        <f t="shared" si="27"/>
        <v>0.19300879262277504</v>
      </c>
      <c r="H412" s="2">
        <v>5</v>
      </c>
      <c r="I412" s="26">
        <v>0.84513888888888899</v>
      </c>
      <c r="J412" s="26">
        <v>0.86249999999999993</v>
      </c>
      <c r="K412" s="27">
        <f>Table3[[#This Row],[Delivery Time]]-Table3[[#This Row],[Order Time]]</f>
        <v>1.7361111111110938E-2</v>
      </c>
      <c r="L412" s="43">
        <v>25</v>
      </c>
      <c r="M412" s="25" t="s">
        <v>0</v>
      </c>
      <c r="N412" s="28"/>
      <c r="O412" s="28" t="s">
        <v>39</v>
      </c>
      <c r="P412" s="25" t="s">
        <v>20</v>
      </c>
    </row>
    <row r="413" spans="1:16" x14ac:dyDescent="0.25">
      <c r="A413" s="23">
        <f t="shared" si="24"/>
        <v>412</v>
      </c>
      <c r="B413" s="24">
        <v>43051</v>
      </c>
      <c r="C413" s="18" t="str">
        <f t="shared" si="25"/>
        <v>Sunday</v>
      </c>
      <c r="D413" s="10" t="str">
        <f t="shared" si="26"/>
        <v>Different</v>
      </c>
      <c r="E413" s="2">
        <v>37.78</v>
      </c>
      <c r="F413" s="2">
        <v>5</v>
      </c>
      <c r="G413" s="1">
        <f t="shared" si="27"/>
        <v>0.13234515616728426</v>
      </c>
      <c r="H413" s="2">
        <v>1.5</v>
      </c>
      <c r="I413" s="26">
        <v>0.65833333333333333</v>
      </c>
      <c r="J413" s="26">
        <v>0.69027777777777777</v>
      </c>
      <c r="K413" s="27">
        <f>Table3[[#This Row],[Delivery Time]]-Table3[[#This Row],[Order Time]]</f>
        <v>3.1944444444444442E-2</v>
      </c>
      <c r="L413" s="43">
        <v>46.000000000000007</v>
      </c>
      <c r="M413" s="25" t="s">
        <v>0</v>
      </c>
      <c r="N413" s="28"/>
      <c r="O413" s="28" t="s">
        <v>39</v>
      </c>
      <c r="P413" s="25" t="s">
        <v>20</v>
      </c>
    </row>
    <row r="414" spans="1:16" x14ac:dyDescent="0.25">
      <c r="A414" s="23">
        <f t="shared" si="24"/>
        <v>413</v>
      </c>
      <c r="B414" s="24">
        <v>43051</v>
      </c>
      <c r="C414" s="18" t="str">
        <f t="shared" si="25"/>
        <v>Sunday</v>
      </c>
      <c r="D414" s="10" t="str">
        <f t="shared" si="26"/>
        <v>Same</v>
      </c>
      <c r="E414" s="2">
        <v>34.1</v>
      </c>
      <c r="F414" s="2">
        <v>6</v>
      </c>
      <c r="G414" s="1">
        <f t="shared" si="27"/>
        <v>0.17595307917888561</v>
      </c>
      <c r="H414" s="2">
        <v>1.5</v>
      </c>
      <c r="I414" s="26">
        <v>0.72361111111111109</v>
      </c>
      <c r="J414" s="26">
        <v>0.74097222222222225</v>
      </c>
      <c r="K414" s="27">
        <f>Table3[[#This Row],[Delivery Time]]-Table3[[#This Row],[Order Time]]</f>
        <v>1.736111111111116E-2</v>
      </c>
      <c r="L414" s="43">
        <v>25</v>
      </c>
      <c r="M414" s="25" t="s">
        <v>11</v>
      </c>
      <c r="N414" s="28"/>
      <c r="O414" s="28" t="s">
        <v>40</v>
      </c>
      <c r="P414" s="25" t="s">
        <v>20</v>
      </c>
    </row>
    <row r="415" spans="1:16" x14ac:dyDescent="0.25">
      <c r="A415" s="23">
        <f t="shared" si="24"/>
        <v>414</v>
      </c>
      <c r="B415" s="24">
        <v>43051</v>
      </c>
      <c r="C415" s="18" t="str">
        <f t="shared" si="25"/>
        <v>Sunday</v>
      </c>
      <c r="D415" s="10" t="str">
        <f t="shared" si="26"/>
        <v>Same</v>
      </c>
      <c r="E415" s="2">
        <v>62.73</v>
      </c>
      <c r="F415" s="2">
        <v>8</v>
      </c>
      <c r="G415" s="1">
        <f t="shared" si="27"/>
        <v>0.12753068707157661</v>
      </c>
      <c r="H415" s="2">
        <v>1.5</v>
      </c>
      <c r="I415" s="26">
        <v>0.73819444444444438</v>
      </c>
      <c r="J415" s="26">
        <v>0.76666666666666661</v>
      </c>
      <c r="K415" s="27">
        <f>Table3[[#This Row],[Delivery Time]]-Table3[[#This Row],[Order Time]]</f>
        <v>2.8472222222222232E-2</v>
      </c>
      <c r="L415" s="43">
        <v>41</v>
      </c>
      <c r="M415" s="25" t="s">
        <v>0</v>
      </c>
      <c r="N415" s="28" t="s">
        <v>22</v>
      </c>
      <c r="O415" s="28" t="s">
        <v>39</v>
      </c>
      <c r="P415" s="25" t="s">
        <v>20</v>
      </c>
    </row>
    <row r="416" spans="1:16" x14ac:dyDescent="0.25">
      <c r="A416" s="23">
        <f t="shared" si="24"/>
        <v>415</v>
      </c>
      <c r="B416" s="24">
        <v>43051</v>
      </c>
      <c r="C416" s="18" t="str">
        <f t="shared" si="25"/>
        <v>Sunday</v>
      </c>
      <c r="D416" s="10" t="str">
        <f t="shared" si="26"/>
        <v>Same</v>
      </c>
      <c r="E416" s="2">
        <v>21.05</v>
      </c>
      <c r="F416" s="2">
        <v>6</v>
      </c>
      <c r="G416" s="1">
        <f t="shared" si="27"/>
        <v>0.28503562945368172</v>
      </c>
      <c r="H416" s="2">
        <v>5</v>
      </c>
      <c r="I416" s="26">
        <v>0.77361111111111114</v>
      </c>
      <c r="J416" s="26">
        <v>0.79236111111111107</v>
      </c>
      <c r="K416" s="27">
        <f>Table3[[#This Row],[Delivery Time]]-Table3[[#This Row],[Order Time]]</f>
        <v>1.8749999999999933E-2</v>
      </c>
      <c r="L416" s="43">
        <v>26.999999999999996</v>
      </c>
      <c r="M416" s="25" t="s">
        <v>12</v>
      </c>
      <c r="N416" s="28"/>
      <c r="O416" s="28" t="s">
        <v>39</v>
      </c>
      <c r="P416" s="25" t="s">
        <v>20</v>
      </c>
    </row>
    <row r="417" spans="1:16" x14ac:dyDescent="0.25">
      <c r="A417" s="23">
        <f t="shared" si="24"/>
        <v>416</v>
      </c>
      <c r="B417" s="24">
        <v>43051</v>
      </c>
      <c r="C417" s="18" t="str">
        <f t="shared" si="25"/>
        <v>Sunday</v>
      </c>
      <c r="D417" s="10" t="str">
        <f t="shared" si="26"/>
        <v>Same</v>
      </c>
      <c r="E417" s="2">
        <v>32.450000000000003</v>
      </c>
      <c r="F417" s="2">
        <v>5</v>
      </c>
      <c r="G417" s="1">
        <f t="shared" si="27"/>
        <v>0.15408320493066255</v>
      </c>
      <c r="H417" s="2">
        <v>1.5</v>
      </c>
      <c r="I417" s="26">
        <v>0.77569444444444446</v>
      </c>
      <c r="J417" s="26">
        <v>0.7993055555555556</v>
      </c>
      <c r="K417" s="27">
        <f>Table3[[#This Row],[Delivery Time]]-Table3[[#This Row],[Order Time]]</f>
        <v>2.3611111111111138E-2</v>
      </c>
      <c r="L417" s="43">
        <v>34</v>
      </c>
      <c r="M417" s="25" t="s">
        <v>12</v>
      </c>
      <c r="N417" s="28"/>
      <c r="O417" s="28" t="s">
        <v>39</v>
      </c>
      <c r="P417" s="25" t="s">
        <v>20</v>
      </c>
    </row>
    <row r="418" spans="1:16" x14ac:dyDescent="0.25">
      <c r="A418" s="23">
        <f t="shared" si="24"/>
        <v>417</v>
      </c>
      <c r="B418" s="24">
        <v>43051</v>
      </c>
      <c r="C418" s="18" t="str">
        <f t="shared" si="25"/>
        <v>Sunday</v>
      </c>
      <c r="D418" s="10" t="str">
        <f t="shared" si="26"/>
        <v>Same</v>
      </c>
      <c r="E418" s="2">
        <v>38.1</v>
      </c>
      <c r="F418" s="2">
        <v>10</v>
      </c>
      <c r="G418" s="1">
        <f t="shared" si="27"/>
        <v>0.26246719160104987</v>
      </c>
      <c r="H418" s="2">
        <v>1.5</v>
      </c>
      <c r="I418" s="26">
        <v>0.8027777777777777</v>
      </c>
      <c r="J418" s="26">
        <v>0.81874999999999998</v>
      </c>
      <c r="K418" s="27">
        <f>Table3[[#This Row],[Delivery Time]]-Table3[[#This Row],[Order Time]]</f>
        <v>1.5972222222222276E-2</v>
      </c>
      <c r="L418" s="43">
        <v>23.000000000000004</v>
      </c>
      <c r="M418" s="25" t="s">
        <v>0</v>
      </c>
      <c r="N418" s="28"/>
      <c r="O418" s="28" t="s">
        <v>39</v>
      </c>
      <c r="P418" s="25" t="s">
        <v>20</v>
      </c>
    </row>
    <row r="419" spans="1:16" x14ac:dyDescent="0.25">
      <c r="A419" s="23">
        <f t="shared" si="24"/>
        <v>418</v>
      </c>
      <c r="B419" s="24">
        <v>43051</v>
      </c>
      <c r="C419" s="18" t="str">
        <f t="shared" si="25"/>
        <v>Sunday</v>
      </c>
      <c r="D419" s="10" t="str">
        <f t="shared" si="26"/>
        <v>Same</v>
      </c>
      <c r="E419" s="2">
        <v>32.909999999999997</v>
      </c>
      <c r="F419" s="2">
        <v>5</v>
      </c>
      <c r="G419" s="1">
        <f t="shared" si="27"/>
        <v>0.15192950470981467</v>
      </c>
      <c r="H419" s="2">
        <v>1.5</v>
      </c>
      <c r="I419" s="26">
        <v>0.81666666666666676</v>
      </c>
      <c r="J419" s="26">
        <v>0.83819444444444446</v>
      </c>
      <c r="K419" s="27">
        <f>Table3[[#This Row],[Delivery Time]]-Table3[[#This Row],[Order Time]]</f>
        <v>2.1527777777777701E-2</v>
      </c>
      <c r="L419" s="43">
        <v>31.000000000000004</v>
      </c>
      <c r="M419" s="25" t="s">
        <v>0</v>
      </c>
      <c r="N419" s="28"/>
      <c r="O419" s="28" t="s">
        <v>40</v>
      </c>
      <c r="P419" s="25" t="s">
        <v>20</v>
      </c>
    </row>
    <row r="420" spans="1:16" x14ac:dyDescent="0.25">
      <c r="A420" s="23">
        <f t="shared" si="24"/>
        <v>419</v>
      </c>
      <c r="B420" s="24">
        <v>43051</v>
      </c>
      <c r="C420" s="18" t="str">
        <f t="shared" si="25"/>
        <v>Sunday</v>
      </c>
      <c r="D420" s="10" t="str">
        <f t="shared" si="26"/>
        <v>Same</v>
      </c>
      <c r="E420" s="2">
        <v>22.41</v>
      </c>
      <c r="F420" s="2">
        <v>3</v>
      </c>
      <c r="G420" s="1">
        <f t="shared" si="27"/>
        <v>0.13386880856760375</v>
      </c>
      <c r="H420" s="2">
        <v>1.5</v>
      </c>
      <c r="I420" s="26">
        <v>0.84444444444444444</v>
      </c>
      <c r="J420" s="26">
        <v>0.86597222222222225</v>
      </c>
      <c r="K420" s="27">
        <f>Table3[[#This Row],[Delivery Time]]-Table3[[#This Row],[Order Time]]</f>
        <v>2.1527777777777812E-2</v>
      </c>
      <c r="L420" s="43">
        <v>31.000000000000004</v>
      </c>
      <c r="M420" s="25" t="s">
        <v>11</v>
      </c>
      <c r="N420" s="28"/>
      <c r="O420" s="28" t="s">
        <v>39</v>
      </c>
      <c r="P420" s="25" t="s">
        <v>20</v>
      </c>
    </row>
    <row r="421" spans="1:16" x14ac:dyDescent="0.25">
      <c r="A421" s="23">
        <f t="shared" si="24"/>
        <v>420</v>
      </c>
      <c r="B421" s="24">
        <v>43058</v>
      </c>
      <c r="C421" s="18" t="str">
        <f t="shared" si="25"/>
        <v>Sunday</v>
      </c>
      <c r="D421" s="10" t="str">
        <f t="shared" si="26"/>
        <v>Different</v>
      </c>
      <c r="E421" s="2">
        <v>55.05</v>
      </c>
      <c r="F421" s="2">
        <v>5</v>
      </c>
      <c r="G421" s="1">
        <f t="shared" si="27"/>
        <v>9.0826521344232525E-2</v>
      </c>
      <c r="H421" s="2">
        <v>1.5</v>
      </c>
      <c r="I421" s="26">
        <v>0.70138888888888884</v>
      </c>
      <c r="J421" s="26">
        <v>0.72569444444444453</v>
      </c>
      <c r="K421" s="27">
        <f>Table3[[#This Row],[Delivery Time]]-Table3[[#This Row],[Order Time]]</f>
        <v>2.4305555555555691E-2</v>
      </c>
      <c r="L421" s="43">
        <v>35</v>
      </c>
      <c r="M421" s="25" t="s">
        <v>11</v>
      </c>
      <c r="N421" s="28"/>
      <c r="O421" s="28" t="s">
        <v>40</v>
      </c>
      <c r="P421" s="25" t="s">
        <v>20</v>
      </c>
    </row>
    <row r="422" spans="1:16" x14ac:dyDescent="0.25">
      <c r="A422" s="23">
        <f t="shared" si="24"/>
        <v>421</v>
      </c>
      <c r="B422" s="24">
        <v>43058</v>
      </c>
      <c r="C422" s="18" t="str">
        <f t="shared" si="25"/>
        <v>Sunday</v>
      </c>
      <c r="D422" s="10" t="str">
        <f t="shared" si="26"/>
        <v>Same</v>
      </c>
      <c r="E422" s="2">
        <v>51.09</v>
      </c>
      <c r="F422" s="2">
        <v>8</v>
      </c>
      <c r="G422" s="1">
        <f t="shared" si="27"/>
        <v>0.15658641612840085</v>
      </c>
      <c r="H422" s="2">
        <v>1.5</v>
      </c>
      <c r="I422" s="26">
        <v>0.71180555555555547</v>
      </c>
      <c r="J422" s="26">
        <v>0.73472222222222217</v>
      </c>
      <c r="K422" s="27">
        <f>Table3[[#This Row],[Delivery Time]]-Table3[[#This Row],[Order Time]]</f>
        <v>2.2916666666666696E-2</v>
      </c>
      <c r="L422" s="43">
        <v>33</v>
      </c>
      <c r="M422" s="25" t="s">
        <v>0</v>
      </c>
      <c r="N422" s="28" t="s">
        <v>25</v>
      </c>
      <c r="O422" s="28" t="s">
        <v>39</v>
      </c>
      <c r="P422" s="25" t="s">
        <v>20</v>
      </c>
    </row>
    <row r="423" spans="1:16" x14ac:dyDescent="0.25">
      <c r="A423" s="23">
        <f t="shared" si="24"/>
        <v>422</v>
      </c>
      <c r="B423" s="24">
        <v>43058</v>
      </c>
      <c r="C423" s="18" t="str">
        <f t="shared" si="25"/>
        <v>Sunday</v>
      </c>
      <c r="D423" s="10" t="str">
        <f t="shared" si="26"/>
        <v>Same</v>
      </c>
      <c r="E423" s="2">
        <v>37.78</v>
      </c>
      <c r="F423" s="2">
        <v>6</v>
      </c>
      <c r="G423" s="1">
        <f t="shared" si="27"/>
        <v>0.15881418740074113</v>
      </c>
      <c r="H423" s="2">
        <v>1.5</v>
      </c>
      <c r="I423" s="26">
        <v>0.70763888888888893</v>
      </c>
      <c r="J423" s="26">
        <v>0.74236111111111114</v>
      </c>
      <c r="K423" s="27">
        <f>Table3[[#This Row],[Delivery Time]]-Table3[[#This Row],[Order Time]]</f>
        <v>3.472222222222221E-2</v>
      </c>
      <c r="L423" s="43">
        <v>50</v>
      </c>
      <c r="M423" s="25" t="s">
        <v>0</v>
      </c>
      <c r="N423" s="28" t="s">
        <v>22</v>
      </c>
      <c r="O423" s="28" t="s">
        <v>39</v>
      </c>
      <c r="P423" s="25" t="s">
        <v>20</v>
      </c>
    </row>
    <row r="424" spans="1:16" x14ac:dyDescent="0.25">
      <c r="A424" s="23">
        <f t="shared" si="24"/>
        <v>423</v>
      </c>
      <c r="B424" s="24">
        <v>43058</v>
      </c>
      <c r="C424" s="18" t="str">
        <f t="shared" si="25"/>
        <v>Sunday</v>
      </c>
      <c r="D424" s="10" t="str">
        <f t="shared" si="26"/>
        <v>Same</v>
      </c>
      <c r="E424" s="2">
        <v>41.62</v>
      </c>
      <c r="F424" s="2">
        <v>8</v>
      </c>
      <c r="G424" s="1">
        <f t="shared" si="27"/>
        <v>0.19221528111484865</v>
      </c>
      <c r="H424" s="2">
        <v>1.5</v>
      </c>
      <c r="I424" s="26">
        <v>0.7583333333333333</v>
      </c>
      <c r="J424" s="26">
        <v>0.77916666666666667</v>
      </c>
      <c r="K424" s="27">
        <f>Table3[[#This Row],[Delivery Time]]-Table3[[#This Row],[Order Time]]</f>
        <v>2.083333333333337E-2</v>
      </c>
      <c r="L424" s="43">
        <v>30</v>
      </c>
      <c r="M424" s="25" t="s">
        <v>0</v>
      </c>
      <c r="N424" s="28"/>
      <c r="O424" s="28" t="s">
        <v>39</v>
      </c>
      <c r="P424" s="25" t="s">
        <v>20</v>
      </c>
    </row>
    <row r="425" spans="1:16" x14ac:dyDescent="0.25">
      <c r="A425" s="23">
        <f t="shared" si="24"/>
        <v>424</v>
      </c>
      <c r="B425" s="24">
        <v>43058</v>
      </c>
      <c r="C425" s="18" t="str">
        <f t="shared" si="25"/>
        <v>Sunday</v>
      </c>
      <c r="D425" s="10" t="str">
        <f t="shared" si="26"/>
        <v>Same</v>
      </c>
      <c r="E425" s="2">
        <v>47.85</v>
      </c>
      <c r="F425" s="2">
        <v>7</v>
      </c>
      <c r="G425" s="1">
        <f t="shared" si="27"/>
        <v>0.14629049111807732</v>
      </c>
      <c r="H425" s="2">
        <v>1.5</v>
      </c>
      <c r="I425" s="26">
        <v>0.75902777777777775</v>
      </c>
      <c r="J425" s="26">
        <v>0.78749999999999998</v>
      </c>
      <c r="K425" s="27">
        <f>Table3[[#This Row],[Delivery Time]]-Table3[[#This Row],[Order Time]]</f>
        <v>2.8472222222222232E-2</v>
      </c>
      <c r="L425" s="43">
        <v>41</v>
      </c>
      <c r="M425" s="25" t="s">
        <v>0</v>
      </c>
      <c r="N425" s="28"/>
      <c r="O425" s="28" t="s">
        <v>39</v>
      </c>
      <c r="P425" s="25" t="s">
        <v>20</v>
      </c>
    </row>
    <row r="426" spans="1:16" x14ac:dyDescent="0.25">
      <c r="A426" s="23">
        <f t="shared" si="24"/>
        <v>425</v>
      </c>
      <c r="B426" s="24">
        <v>43058</v>
      </c>
      <c r="C426" s="18" t="str">
        <f t="shared" si="25"/>
        <v>Sunday</v>
      </c>
      <c r="D426" s="10" t="str">
        <f t="shared" si="26"/>
        <v>Same</v>
      </c>
      <c r="E426" s="2">
        <v>59.43</v>
      </c>
      <c r="F426" s="2">
        <v>10.57</v>
      </c>
      <c r="G426" s="1">
        <f t="shared" si="27"/>
        <v>0.17785630153121321</v>
      </c>
      <c r="H426" s="2">
        <v>1.5</v>
      </c>
      <c r="I426" s="26">
        <v>0.79166666666666663</v>
      </c>
      <c r="J426" s="26">
        <v>0.81597222222222221</v>
      </c>
      <c r="K426" s="27">
        <f>Table3[[#This Row],[Delivery Time]]-Table3[[#This Row],[Order Time]]</f>
        <v>2.430555555555558E-2</v>
      </c>
      <c r="L426" s="43">
        <v>35</v>
      </c>
      <c r="M426" s="25" t="s">
        <v>11</v>
      </c>
      <c r="N426" s="28"/>
      <c r="O426" s="28" t="s">
        <v>39</v>
      </c>
      <c r="P426" s="25" t="s">
        <v>20</v>
      </c>
    </row>
    <row r="427" spans="1:16" x14ac:dyDescent="0.25">
      <c r="A427" s="23">
        <f t="shared" si="24"/>
        <v>426</v>
      </c>
      <c r="B427" s="24">
        <v>43058</v>
      </c>
      <c r="C427" s="18" t="str">
        <f t="shared" si="25"/>
        <v>Sunday</v>
      </c>
      <c r="D427" s="10" t="str">
        <f t="shared" si="26"/>
        <v>Same</v>
      </c>
      <c r="E427" s="2">
        <v>47.97</v>
      </c>
      <c r="F427" s="2">
        <v>5</v>
      </c>
      <c r="G427" s="1">
        <f t="shared" si="27"/>
        <v>0.10423181154888472</v>
      </c>
      <c r="H427" s="2">
        <v>1.5</v>
      </c>
      <c r="I427" s="26">
        <v>0.79236111111111107</v>
      </c>
      <c r="J427" s="26">
        <v>0.82430555555555562</v>
      </c>
      <c r="K427" s="27">
        <f>Table3[[#This Row],[Delivery Time]]-Table3[[#This Row],[Order Time]]</f>
        <v>3.1944444444444553E-2</v>
      </c>
      <c r="L427" s="43">
        <v>46.000000000000007</v>
      </c>
      <c r="M427" s="25" t="s">
        <v>11</v>
      </c>
      <c r="N427" s="28"/>
      <c r="O427" s="28" t="s">
        <v>41</v>
      </c>
      <c r="P427" s="25" t="s">
        <v>20</v>
      </c>
    </row>
    <row r="428" spans="1:16" x14ac:dyDescent="0.25">
      <c r="A428" s="23">
        <f t="shared" si="24"/>
        <v>427</v>
      </c>
      <c r="B428" s="24">
        <v>43058</v>
      </c>
      <c r="C428" s="18" t="str">
        <f t="shared" si="25"/>
        <v>Sunday</v>
      </c>
      <c r="D428" s="10" t="str">
        <f t="shared" si="26"/>
        <v>Same</v>
      </c>
      <c r="E428" s="2">
        <v>32.96</v>
      </c>
      <c r="F428" s="2">
        <v>4</v>
      </c>
      <c r="G428" s="1">
        <f t="shared" si="27"/>
        <v>0.12135922330097088</v>
      </c>
      <c r="H428" s="2">
        <v>1.5</v>
      </c>
      <c r="I428" s="26">
        <v>0.79791666666666661</v>
      </c>
      <c r="J428" s="26">
        <v>0.8305555555555556</v>
      </c>
      <c r="K428" s="27">
        <f>Table3[[#This Row],[Delivery Time]]-Table3[[#This Row],[Order Time]]</f>
        <v>3.2638888888888995E-2</v>
      </c>
      <c r="L428" s="43">
        <v>47.000000000000007</v>
      </c>
      <c r="M428" s="25" t="s">
        <v>11</v>
      </c>
      <c r="N428" s="28"/>
      <c r="O428" s="28" t="s">
        <v>41</v>
      </c>
      <c r="P428" s="25" t="s">
        <v>20</v>
      </c>
    </row>
    <row r="429" spans="1:16" x14ac:dyDescent="0.25">
      <c r="A429" s="23">
        <f t="shared" si="24"/>
        <v>428</v>
      </c>
      <c r="B429" s="24">
        <v>43058</v>
      </c>
      <c r="C429" s="18" t="str">
        <f t="shared" si="25"/>
        <v>Sunday</v>
      </c>
      <c r="D429" s="10" t="str">
        <f t="shared" si="26"/>
        <v>Same</v>
      </c>
      <c r="E429" s="2">
        <v>30.26</v>
      </c>
      <c r="F429" s="2">
        <v>5</v>
      </c>
      <c r="G429" s="1">
        <f t="shared" si="27"/>
        <v>0.16523463317911433</v>
      </c>
      <c r="H429" s="2">
        <v>1.5</v>
      </c>
      <c r="I429" s="26">
        <v>0.82013888888888886</v>
      </c>
      <c r="J429" s="26">
        <v>0.84444444444444444</v>
      </c>
      <c r="K429" s="27">
        <f>Table3[[#This Row],[Delivery Time]]-Table3[[#This Row],[Order Time]]</f>
        <v>2.430555555555558E-2</v>
      </c>
      <c r="L429" s="43">
        <v>35</v>
      </c>
      <c r="M429" s="25" t="s">
        <v>11</v>
      </c>
      <c r="N429" s="28"/>
      <c r="O429" s="28" t="s">
        <v>41</v>
      </c>
      <c r="P429" s="25" t="s">
        <v>20</v>
      </c>
    </row>
    <row r="430" spans="1:16" x14ac:dyDescent="0.25">
      <c r="A430" s="23">
        <f t="shared" si="24"/>
        <v>429</v>
      </c>
      <c r="B430" s="24">
        <v>43059</v>
      </c>
      <c r="C430" s="18" t="str">
        <f t="shared" si="25"/>
        <v>Monday</v>
      </c>
      <c r="D430" s="10" t="str">
        <f t="shared" si="26"/>
        <v>Different</v>
      </c>
      <c r="E430" s="2">
        <v>15.7</v>
      </c>
      <c r="F430" s="2">
        <v>3</v>
      </c>
      <c r="G430" s="1">
        <f t="shared" si="27"/>
        <v>0.19108280254777071</v>
      </c>
      <c r="H430" s="2">
        <v>1.5</v>
      </c>
      <c r="I430" s="26">
        <v>0.73472222222222217</v>
      </c>
      <c r="J430" s="26">
        <v>0.76458333333333339</v>
      </c>
      <c r="K430" s="27">
        <f>Table3[[#This Row],[Delivery Time]]-Table3[[#This Row],[Order Time]]</f>
        <v>2.9861111111111227E-2</v>
      </c>
      <c r="L430" s="43">
        <v>43</v>
      </c>
      <c r="M430" s="25" t="s">
        <v>11</v>
      </c>
      <c r="N430" s="28"/>
      <c r="O430" s="28" t="s">
        <v>41</v>
      </c>
      <c r="P430" s="25" t="s">
        <v>20</v>
      </c>
    </row>
    <row r="431" spans="1:16" x14ac:dyDescent="0.25">
      <c r="A431" s="23">
        <f t="shared" si="24"/>
        <v>430</v>
      </c>
      <c r="B431" s="24">
        <v>43059</v>
      </c>
      <c r="C431" s="18" t="str">
        <f t="shared" si="25"/>
        <v>Monday</v>
      </c>
      <c r="D431" s="10" t="str">
        <f t="shared" si="26"/>
        <v>Same</v>
      </c>
      <c r="E431" s="2">
        <v>40.54</v>
      </c>
      <c r="F431" s="2">
        <v>8</v>
      </c>
      <c r="G431" s="1">
        <f t="shared" si="27"/>
        <v>0.19733596447952639</v>
      </c>
      <c r="H431" s="2">
        <v>5</v>
      </c>
      <c r="I431" s="26">
        <v>0.73125000000000007</v>
      </c>
      <c r="J431" s="26">
        <v>0.77847222222222223</v>
      </c>
      <c r="K431" s="27">
        <f>Table3[[#This Row],[Delivery Time]]-Table3[[#This Row],[Order Time]]</f>
        <v>4.7222222222222165E-2</v>
      </c>
      <c r="L431" s="43">
        <v>68</v>
      </c>
      <c r="M431" s="25" t="s">
        <v>0</v>
      </c>
      <c r="N431" s="28"/>
      <c r="O431" s="28" t="s">
        <v>39</v>
      </c>
      <c r="P431" s="25" t="s">
        <v>20</v>
      </c>
    </row>
    <row r="432" spans="1:16" x14ac:dyDescent="0.25">
      <c r="A432" s="23">
        <f t="shared" si="24"/>
        <v>431</v>
      </c>
      <c r="B432" s="24">
        <v>43059</v>
      </c>
      <c r="C432" s="18" t="str">
        <f t="shared" si="25"/>
        <v>Monday</v>
      </c>
      <c r="D432" s="10" t="str">
        <f t="shared" si="26"/>
        <v>Same</v>
      </c>
      <c r="E432" s="2">
        <v>90.77</v>
      </c>
      <c r="F432" s="2">
        <v>5.23</v>
      </c>
      <c r="G432" s="1">
        <f t="shared" si="27"/>
        <v>5.7618155778340868E-2</v>
      </c>
      <c r="H432" s="2">
        <v>5</v>
      </c>
      <c r="I432" s="26">
        <v>0.75763888888888886</v>
      </c>
      <c r="J432" s="26">
        <v>0.8125</v>
      </c>
      <c r="K432" s="27">
        <f>Table3[[#This Row],[Delivery Time]]-Table3[[#This Row],[Order Time]]</f>
        <v>5.4861111111111138E-2</v>
      </c>
      <c r="L432" s="43">
        <v>79</v>
      </c>
      <c r="M432" s="25" t="s">
        <v>0</v>
      </c>
      <c r="N432" s="28"/>
      <c r="O432" s="28" t="s">
        <v>39</v>
      </c>
      <c r="P432" s="25" t="s">
        <v>20</v>
      </c>
    </row>
    <row r="433" spans="1:16" x14ac:dyDescent="0.25">
      <c r="A433" s="23">
        <f t="shared" si="24"/>
        <v>432</v>
      </c>
      <c r="B433" s="24">
        <v>43059</v>
      </c>
      <c r="C433" s="18" t="str">
        <f t="shared" si="25"/>
        <v>Monday</v>
      </c>
      <c r="D433" s="10" t="str">
        <f t="shared" si="26"/>
        <v>Same</v>
      </c>
      <c r="E433" s="2">
        <v>22.41</v>
      </c>
      <c r="F433" s="2">
        <v>6.59</v>
      </c>
      <c r="G433" s="1">
        <f t="shared" si="27"/>
        <v>0.29406514948683621</v>
      </c>
      <c r="H433" s="2">
        <v>1.5</v>
      </c>
      <c r="I433" s="26">
        <v>0.82013888888888886</v>
      </c>
      <c r="J433" s="26">
        <v>0.83888888888888891</v>
      </c>
      <c r="K433" s="27">
        <f>Table3[[#This Row],[Delivery Time]]-Table3[[#This Row],[Order Time]]</f>
        <v>1.8750000000000044E-2</v>
      </c>
      <c r="L433" s="43">
        <v>26.999999999999996</v>
      </c>
      <c r="M433" s="25" t="s">
        <v>0</v>
      </c>
      <c r="N433" s="28" t="s">
        <v>25</v>
      </c>
      <c r="O433" s="28" t="s">
        <v>39</v>
      </c>
      <c r="P433" s="25" t="s">
        <v>20</v>
      </c>
    </row>
    <row r="434" spans="1:16" x14ac:dyDescent="0.25">
      <c r="A434" s="23">
        <f t="shared" si="24"/>
        <v>433</v>
      </c>
      <c r="B434" s="24">
        <v>43059</v>
      </c>
      <c r="C434" s="18" t="str">
        <f t="shared" si="25"/>
        <v>Monday</v>
      </c>
      <c r="D434" s="10" t="str">
        <f t="shared" si="26"/>
        <v>Same</v>
      </c>
      <c r="E434" s="2">
        <v>145.16</v>
      </c>
      <c r="F434" s="2">
        <v>25</v>
      </c>
      <c r="G434" s="1">
        <f t="shared" si="27"/>
        <v>0.17222375310002755</v>
      </c>
      <c r="H434" s="2">
        <v>5</v>
      </c>
      <c r="I434" s="26">
        <v>0.81736111111111109</v>
      </c>
      <c r="J434" s="26">
        <v>0.84791666666666676</v>
      </c>
      <c r="K434" s="27">
        <f>Table3[[#This Row],[Delivery Time]]-Table3[[#This Row],[Order Time]]</f>
        <v>3.0555555555555669E-2</v>
      </c>
      <c r="L434" s="43">
        <v>44</v>
      </c>
      <c r="M434" s="25" t="s">
        <v>0</v>
      </c>
      <c r="N434" s="28"/>
      <c r="O434" s="28" t="s">
        <v>39</v>
      </c>
      <c r="P434" s="25" t="s">
        <v>20</v>
      </c>
    </row>
    <row r="435" spans="1:16" x14ac:dyDescent="0.25">
      <c r="A435" s="23">
        <f t="shared" si="24"/>
        <v>434</v>
      </c>
      <c r="B435" s="24">
        <v>43061</v>
      </c>
      <c r="C435" s="18" t="str">
        <f t="shared" si="25"/>
        <v>Wednesday</v>
      </c>
      <c r="D435" s="10" t="str">
        <f t="shared" si="26"/>
        <v>Different</v>
      </c>
      <c r="E435" s="2">
        <v>154.69</v>
      </c>
      <c r="F435" s="2">
        <v>15</v>
      </c>
      <c r="G435" s="1">
        <f t="shared" si="27"/>
        <v>9.6968129808003109E-2</v>
      </c>
      <c r="H435" s="2">
        <v>1.5</v>
      </c>
      <c r="I435" s="26">
        <v>0.76041666666666663</v>
      </c>
      <c r="J435" s="26">
        <v>0.76041666666666663</v>
      </c>
      <c r="K435" s="27">
        <f>Table3[[#This Row],[Delivery Time]]-Table3[[#This Row],[Order Time]]</f>
        <v>0</v>
      </c>
      <c r="L435" s="43">
        <v>0</v>
      </c>
      <c r="M435" s="25" t="s">
        <v>11</v>
      </c>
      <c r="N435" s="28"/>
      <c r="O435" s="28" t="s">
        <v>39</v>
      </c>
      <c r="P435" s="25" t="s">
        <v>16</v>
      </c>
    </row>
    <row r="436" spans="1:16" x14ac:dyDescent="0.25">
      <c r="A436" s="23">
        <f t="shared" si="24"/>
        <v>435</v>
      </c>
      <c r="B436" s="24">
        <v>43061</v>
      </c>
      <c r="C436" s="18" t="str">
        <f t="shared" si="25"/>
        <v>Wednesday</v>
      </c>
      <c r="D436" s="10" t="str">
        <f t="shared" si="26"/>
        <v>Same</v>
      </c>
      <c r="E436" s="2">
        <v>76.150000000000006</v>
      </c>
      <c r="F436" s="2">
        <v>5</v>
      </c>
      <c r="G436" s="1">
        <f t="shared" si="27"/>
        <v>6.5659881812212731E-2</v>
      </c>
      <c r="H436" s="2">
        <v>7</v>
      </c>
      <c r="I436" s="26">
        <v>0.75277777777777777</v>
      </c>
      <c r="J436" s="26">
        <v>0.79375000000000007</v>
      </c>
      <c r="K436" s="27">
        <f>Table3[[#This Row],[Delivery Time]]-Table3[[#This Row],[Order Time]]</f>
        <v>4.0972222222222299E-2</v>
      </c>
      <c r="L436" s="43">
        <v>59</v>
      </c>
      <c r="M436" s="25" t="s">
        <v>11</v>
      </c>
      <c r="N436" s="28"/>
      <c r="O436" s="28" t="s">
        <v>39</v>
      </c>
      <c r="P436" s="25" t="s">
        <v>20</v>
      </c>
    </row>
    <row r="437" spans="1:16" x14ac:dyDescent="0.25">
      <c r="A437" s="23">
        <f t="shared" si="24"/>
        <v>436</v>
      </c>
      <c r="B437" s="24">
        <v>43061</v>
      </c>
      <c r="C437" s="18" t="str">
        <f t="shared" si="25"/>
        <v>Wednesday</v>
      </c>
      <c r="D437" s="10" t="str">
        <f t="shared" si="26"/>
        <v>Same</v>
      </c>
      <c r="E437" s="2">
        <v>20.78</v>
      </c>
      <c r="F437" s="2">
        <v>4</v>
      </c>
      <c r="G437" s="1">
        <f t="shared" si="27"/>
        <v>0.19249278152069296</v>
      </c>
      <c r="H437" s="2">
        <v>1.5</v>
      </c>
      <c r="I437" s="26">
        <v>0.75763888888888886</v>
      </c>
      <c r="J437" s="26">
        <v>0.8027777777777777</v>
      </c>
      <c r="K437" s="27">
        <f>Table3[[#This Row],[Delivery Time]]-Table3[[#This Row],[Order Time]]</f>
        <v>4.513888888888884E-2</v>
      </c>
      <c r="L437" s="43">
        <v>65</v>
      </c>
      <c r="M437" s="25" t="s">
        <v>11</v>
      </c>
      <c r="N437" s="28"/>
      <c r="O437" s="28" t="s">
        <v>39</v>
      </c>
      <c r="P437" s="25" t="s">
        <v>20</v>
      </c>
    </row>
    <row r="438" spans="1:16" x14ac:dyDescent="0.25">
      <c r="A438" s="23">
        <f t="shared" si="24"/>
        <v>437</v>
      </c>
      <c r="B438" s="24">
        <v>43061</v>
      </c>
      <c r="C438" s="18" t="str">
        <f t="shared" si="25"/>
        <v>Wednesday</v>
      </c>
      <c r="D438" s="10" t="str">
        <f t="shared" si="26"/>
        <v>Same</v>
      </c>
      <c r="E438" s="2">
        <v>29.99</v>
      </c>
      <c r="F438" s="2">
        <v>6</v>
      </c>
      <c r="G438" s="1">
        <f t="shared" si="27"/>
        <v>0.20006668889629878</v>
      </c>
      <c r="H438" s="2">
        <v>1.5</v>
      </c>
      <c r="I438" s="26">
        <v>0.76041666666666663</v>
      </c>
      <c r="J438" s="26">
        <v>0.80972222222222223</v>
      </c>
      <c r="K438" s="27">
        <f>Table3[[#This Row],[Delivery Time]]-Table3[[#This Row],[Order Time]]</f>
        <v>4.9305555555555602E-2</v>
      </c>
      <c r="L438" s="43">
        <v>71</v>
      </c>
      <c r="M438" s="25" t="s">
        <v>11</v>
      </c>
      <c r="N438" s="28"/>
      <c r="O438" s="28" t="s">
        <v>39</v>
      </c>
      <c r="P438" s="25" t="s">
        <v>20</v>
      </c>
    </row>
    <row r="439" spans="1:16" x14ac:dyDescent="0.25">
      <c r="A439" s="23">
        <f t="shared" si="24"/>
        <v>438</v>
      </c>
      <c r="B439" s="24">
        <v>43061</v>
      </c>
      <c r="C439" s="18" t="str">
        <f t="shared" si="25"/>
        <v>Wednesday</v>
      </c>
      <c r="D439" s="10" t="str">
        <f t="shared" si="26"/>
        <v>Same</v>
      </c>
      <c r="E439" s="2">
        <v>29.92</v>
      </c>
      <c r="F439" s="2">
        <v>6</v>
      </c>
      <c r="G439" s="1">
        <f t="shared" si="27"/>
        <v>0.20053475935828877</v>
      </c>
      <c r="H439" s="2">
        <v>1.5</v>
      </c>
      <c r="I439" s="26">
        <v>0.81805555555555554</v>
      </c>
      <c r="J439" s="26">
        <v>0.84444444444444444</v>
      </c>
      <c r="K439" s="27">
        <f>Table3[[#This Row],[Delivery Time]]-Table3[[#This Row],[Order Time]]</f>
        <v>2.6388888888888906E-2</v>
      </c>
      <c r="L439" s="43">
        <v>38</v>
      </c>
      <c r="M439" s="25" t="s">
        <v>11</v>
      </c>
      <c r="N439" s="28"/>
      <c r="O439" s="28" t="s">
        <v>41</v>
      </c>
      <c r="P439" s="25" t="s">
        <v>20</v>
      </c>
    </row>
    <row r="440" spans="1:16" x14ac:dyDescent="0.25">
      <c r="A440" s="23">
        <f t="shared" si="24"/>
        <v>439</v>
      </c>
      <c r="B440" s="24">
        <v>43061</v>
      </c>
      <c r="C440" s="18" t="str">
        <f t="shared" si="25"/>
        <v>Wednesday</v>
      </c>
      <c r="D440" s="10" t="str">
        <f t="shared" si="26"/>
        <v>Same</v>
      </c>
      <c r="E440" s="2">
        <v>52.07</v>
      </c>
      <c r="F440" s="2">
        <v>7.93</v>
      </c>
      <c r="G440" s="1">
        <f t="shared" si="27"/>
        <v>0.15229498751680429</v>
      </c>
      <c r="H440" s="2">
        <v>1.5</v>
      </c>
      <c r="I440" s="26">
        <v>0.82500000000000007</v>
      </c>
      <c r="J440" s="26">
        <v>0.85486111111111107</v>
      </c>
      <c r="K440" s="27">
        <f>Table3[[#This Row],[Delivery Time]]-Table3[[#This Row],[Order Time]]</f>
        <v>2.9861111111111005E-2</v>
      </c>
      <c r="L440" s="43">
        <v>43</v>
      </c>
      <c r="M440" s="25" t="s">
        <v>11</v>
      </c>
      <c r="N440" s="28"/>
      <c r="O440" s="28" t="s">
        <v>39</v>
      </c>
      <c r="P440" s="25" t="s">
        <v>20</v>
      </c>
    </row>
    <row r="441" spans="1:16" x14ac:dyDescent="0.25">
      <c r="A441" s="23">
        <f t="shared" si="24"/>
        <v>440</v>
      </c>
      <c r="B441" s="24">
        <v>43063</v>
      </c>
      <c r="C441" s="18" t="str">
        <f t="shared" si="25"/>
        <v>Friday</v>
      </c>
      <c r="D441" s="10" t="str">
        <f t="shared" si="26"/>
        <v>Different</v>
      </c>
      <c r="E441" s="2">
        <v>35.07</v>
      </c>
      <c r="F441" s="2">
        <v>5.93</v>
      </c>
      <c r="G441" s="1">
        <f t="shared" si="27"/>
        <v>0.16909039064727688</v>
      </c>
      <c r="H441" s="2">
        <v>1.5</v>
      </c>
      <c r="I441" s="26">
        <v>0.69861111111111107</v>
      </c>
      <c r="J441" s="26">
        <v>0.71388888888888891</v>
      </c>
      <c r="K441" s="27">
        <f>Table3[[#This Row],[Delivery Time]]-Table3[[#This Row],[Order Time]]</f>
        <v>1.5277777777777835E-2</v>
      </c>
      <c r="L441" s="43">
        <v>22</v>
      </c>
      <c r="M441" s="25" t="s">
        <v>0</v>
      </c>
      <c r="N441" s="28"/>
      <c r="O441" s="28" t="s">
        <v>39</v>
      </c>
      <c r="P441" s="25" t="s">
        <v>20</v>
      </c>
    </row>
    <row r="442" spans="1:16" x14ac:dyDescent="0.25">
      <c r="A442" s="23">
        <f t="shared" si="24"/>
        <v>441</v>
      </c>
      <c r="B442" s="24">
        <v>43063</v>
      </c>
      <c r="C442" s="18" t="str">
        <f t="shared" si="25"/>
        <v>Friday</v>
      </c>
      <c r="D442" s="10" t="str">
        <f t="shared" si="26"/>
        <v>Same</v>
      </c>
      <c r="E442" s="2">
        <v>66.47</v>
      </c>
      <c r="F442" s="2">
        <v>18</v>
      </c>
      <c r="G442" s="1">
        <f t="shared" si="27"/>
        <v>0.27079885662704978</v>
      </c>
      <c r="H442" s="2">
        <v>1.5</v>
      </c>
      <c r="I442" s="26">
        <v>0.71875</v>
      </c>
      <c r="J442" s="26">
        <v>0.73819444444444438</v>
      </c>
      <c r="K442" s="27">
        <f>Table3[[#This Row],[Delivery Time]]-Table3[[#This Row],[Order Time]]</f>
        <v>1.9444444444444375E-2</v>
      </c>
      <c r="L442" s="43">
        <v>28</v>
      </c>
      <c r="M442" s="25" t="s">
        <v>12</v>
      </c>
      <c r="N442" s="28"/>
      <c r="O442" s="28" t="s">
        <v>39</v>
      </c>
      <c r="P442" s="25" t="s">
        <v>20</v>
      </c>
    </row>
    <row r="443" spans="1:16" x14ac:dyDescent="0.25">
      <c r="A443" s="23">
        <f t="shared" si="24"/>
        <v>442</v>
      </c>
      <c r="B443" s="24">
        <v>43063</v>
      </c>
      <c r="C443" s="18" t="str">
        <f t="shared" si="25"/>
        <v>Friday</v>
      </c>
      <c r="D443" s="10" t="str">
        <f t="shared" si="26"/>
        <v>Same</v>
      </c>
      <c r="E443" s="2">
        <v>58.99</v>
      </c>
      <c r="F443" s="2">
        <v>5.01</v>
      </c>
      <c r="G443" s="1">
        <f t="shared" si="27"/>
        <v>8.492964909306662E-2</v>
      </c>
      <c r="H443" s="2">
        <v>1.5</v>
      </c>
      <c r="I443" s="26">
        <v>0.74513888888888891</v>
      </c>
      <c r="J443" s="26">
        <v>0.76666666666666661</v>
      </c>
      <c r="K443" s="27">
        <f>Table3[[#This Row],[Delivery Time]]-Table3[[#This Row],[Order Time]]</f>
        <v>2.1527777777777701E-2</v>
      </c>
      <c r="L443" s="43">
        <v>31.000000000000004</v>
      </c>
      <c r="M443" s="25" t="s">
        <v>11</v>
      </c>
      <c r="N443" s="28"/>
      <c r="O443" s="28" t="s">
        <v>41</v>
      </c>
      <c r="P443" s="25" t="s">
        <v>20</v>
      </c>
    </row>
    <row r="444" spans="1:16" x14ac:dyDescent="0.25">
      <c r="A444" s="23">
        <f t="shared" si="24"/>
        <v>443</v>
      </c>
      <c r="B444" s="24">
        <v>43063</v>
      </c>
      <c r="C444" s="18" t="str">
        <f t="shared" si="25"/>
        <v>Friday</v>
      </c>
      <c r="D444" s="10" t="str">
        <f t="shared" si="26"/>
        <v>Same</v>
      </c>
      <c r="E444" s="2">
        <v>50.07</v>
      </c>
      <c r="F444" s="2">
        <v>15</v>
      </c>
      <c r="G444" s="1">
        <f t="shared" si="27"/>
        <v>0.29958058717795089</v>
      </c>
      <c r="H444" s="2">
        <v>1.5</v>
      </c>
      <c r="I444" s="26">
        <v>0.77847222222222223</v>
      </c>
      <c r="J444" s="26">
        <v>0.79861111111111116</v>
      </c>
      <c r="K444" s="27">
        <f>Table3[[#This Row],[Delivery Time]]-Table3[[#This Row],[Order Time]]</f>
        <v>2.0138888888888928E-2</v>
      </c>
      <c r="L444" s="43">
        <v>29.000000000000004</v>
      </c>
      <c r="M444" s="25" t="s">
        <v>11</v>
      </c>
      <c r="N444" s="28"/>
      <c r="O444" s="28" t="s">
        <v>40</v>
      </c>
      <c r="P444" s="25" t="s">
        <v>20</v>
      </c>
    </row>
    <row r="445" spans="1:16" x14ac:dyDescent="0.25">
      <c r="A445" s="23">
        <f t="shared" si="24"/>
        <v>444</v>
      </c>
      <c r="B445" s="24">
        <v>43063</v>
      </c>
      <c r="C445" s="18" t="str">
        <f t="shared" si="25"/>
        <v>Friday</v>
      </c>
      <c r="D445" s="10" t="str">
        <f t="shared" si="26"/>
        <v>Same</v>
      </c>
      <c r="E445" s="2">
        <v>83.46</v>
      </c>
      <c r="F445" s="2">
        <v>20</v>
      </c>
      <c r="G445" s="1">
        <f t="shared" si="27"/>
        <v>0.23963575365444525</v>
      </c>
      <c r="H445" s="2">
        <v>5</v>
      </c>
      <c r="I445" s="26">
        <v>0.77222222222222225</v>
      </c>
      <c r="J445" s="26">
        <v>0.81180555555555556</v>
      </c>
      <c r="K445" s="27">
        <f>Table3[[#This Row],[Delivery Time]]-Table3[[#This Row],[Order Time]]</f>
        <v>3.9583333333333304E-2</v>
      </c>
      <c r="L445" s="43">
        <v>57</v>
      </c>
      <c r="M445" s="25" t="s">
        <v>0</v>
      </c>
      <c r="N445" s="28"/>
      <c r="O445" s="28" t="s">
        <v>39</v>
      </c>
      <c r="P445" s="25" t="s">
        <v>20</v>
      </c>
    </row>
    <row r="446" spans="1:16" x14ac:dyDescent="0.25">
      <c r="A446" s="23">
        <f t="shared" si="24"/>
        <v>445</v>
      </c>
      <c r="B446" s="24">
        <v>43064</v>
      </c>
      <c r="C446" s="18" t="str">
        <f t="shared" si="25"/>
        <v>Saturday</v>
      </c>
      <c r="D446" s="10" t="str">
        <f t="shared" si="26"/>
        <v>Different</v>
      </c>
      <c r="E446" s="2">
        <v>32.479999999999997</v>
      </c>
      <c r="F446" s="2">
        <v>6</v>
      </c>
      <c r="G446" s="1">
        <f t="shared" si="27"/>
        <v>0.18472906403940889</v>
      </c>
      <c r="H446" s="2">
        <v>1.5</v>
      </c>
      <c r="I446" s="26">
        <v>0.73819444444444438</v>
      </c>
      <c r="J446" s="26">
        <v>0.76597222222222217</v>
      </c>
      <c r="K446" s="27">
        <f>Table3[[#This Row],[Delivery Time]]-Table3[[#This Row],[Order Time]]</f>
        <v>2.777777777777779E-2</v>
      </c>
      <c r="L446" s="43">
        <v>40</v>
      </c>
      <c r="M446" s="25" t="s">
        <v>0</v>
      </c>
      <c r="N446" s="28"/>
      <c r="O446" s="28" t="s">
        <v>41</v>
      </c>
      <c r="P446" s="25" t="s">
        <v>20</v>
      </c>
    </row>
    <row r="447" spans="1:16" x14ac:dyDescent="0.25">
      <c r="A447" s="23">
        <f t="shared" si="24"/>
        <v>446</v>
      </c>
      <c r="B447" s="24">
        <v>43064</v>
      </c>
      <c r="C447" s="18" t="str">
        <f t="shared" si="25"/>
        <v>Saturday</v>
      </c>
      <c r="D447" s="10" t="str">
        <f t="shared" si="26"/>
        <v>Same</v>
      </c>
      <c r="E447" s="2">
        <v>38.65</v>
      </c>
      <c r="F447" s="2">
        <v>5</v>
      </c>
      <c r="G447" s="1">
        <f t="shared" si="27"/>
        <v>0.12936610608020699</v>
      </c>
      <c r="H447" s="2">
        <v>1.5</v>
      </c>
      <c r="I447" s="26">
        <v>0.74305555555555547</v>
      </c>
      <c r="J447" s="26">
        <v>0.77569444444444446</v>
      </c>
      <c r="K447" s="27">
        <f>Table3[[#This Row],[Delivery Time]]-Table3[[#This Row],[Order Time]]</f>
        <v>3.2638888888888995E-2</v>
      </c>
      <c r="L447" s="43">
        <v>47.000000000000007</v>
      </c>
      <c r="M447" s="25" t="s">
        <v>0</v>
      </c>
      <c r="N447" s="28"/>
      <c r="O447" s="28" t="s">
        <v>39</v>
      </c>
      <c r="P447" s="25" t="s">
        <v>20</v>
      </c>
    </row>
    <row r="448" spans="1:16" x14ac:dyDescent="0.25">
      <c r="A448" s="23">
        <f t="shared" si="24"/>
        <v>447</v>
      </c>
      <c r="B448" s="24">
        <v>43064</v>
      </c>
      <c r="C448" s="18" t="str">
        <f t="shared" si="25"/>
        <v>Saturday</v>
      </c>
      <c r="D448" s="10" t="str">
        <f t="shared" si="26"/>
        <v>Same</v>
      </c>
      <c r="E448" s="2">
        <v>54.34</v>
      </c>
      <c r="F448" s="2">
        <v>10.66</v>
      </c>
      <c r="G448" s="1">
        <f t="shared" si="27"/>
        <v>0.19617224880382775</v>
      </c>
      <c r="H448" s="2">
        <v>5</v>
      </c>
      <c r="I448" s="26">
        <v>0.74930555555555556</v>
      </c>
      <c r="J448" s="26">
        <v>0.78472222222222221</v>
      </c>
      <c r="K448" s="27">
        <f>Table3[[#This Row],[Delivery Time]]-Table3[[#This Row],[Order Time]]</f>
        <v>3.5416666666666652E-2</v>
      </c>
      <c r="L448" s="43">
        <v>51</v>
      </c>
      <c r="M448" s="25" t="s">
        <v>27</v>
      </c>
      <c r="N448" s="28"/>
      <c r="O448" s="28" t="s">
        <v>39</v>
      </c>
      <c r="P448" s="25" t="s">
        <v>20</v>
      </c>
    </row>
    <row r="449" spans="1:16" x14ac:dyDescent="0.25">
      <c r="A449" s="23">
        <f t="shared" si="24"/>
        <v>448</v>
      </c>
      <c r="B449" s="24">
        <v>43065</v>
      </c>
      <c r="C449" s="18" t="str">
        <f t="shared" si="25"/>
        <v>Sunday</v>
      </c>
      <c r="D449" s="10" t="str">
        <f t="shared" si="26"/>
        <v>Different</v>
      </c>
      <c r="E449" s="2">
        <v>33.770000000000003</v>
      </c>
      <c r="F449" s="2">
        <v>3</v>
      </c>
      <c r="G449" s="1">
        <f t="shared" si="27"/>
        <v>8.8836245188036705E-2</v>
      </c>
      <c r="H449" s="2">
        <v>5</v>
      </c>
      <c r="I449" s="26">
        <v>0.69097222222222221</v>
      </c>
      <c r="J449" s="26">
        <v>0.72361111111111109</v>
      </c>
      <c r="K449" s="27">
        <f>Table3[[#This Row],[Delivery Time]]-Table3[[#This Row],[Order Time]]</f>
        <v>3.2638888888888884E-2</v>
      </c>
      <c r="L449" s="43">
        <v>47.000000000000007</v>
      </c>
      <c r="M449" s="25" t="s">
        <v>12</v>
      </c>
      <c r="N449" s="28"/>
      <c r="O449" s="28" t="s">
        <v>39</v>
      </c>
      <c r="P449" s="25" t="s">
        <v>20</v>
      </c>
    </row>
    <row r="450" spans="1:16" x14ac:dyDescent="0.25">
      <c r="A450" s="23">
        <f t="shared" si="24"/>
        <v>449</v>
      </c>
      <c r="B450" s="24">
        <v>43065</v>
      </c>
      <c r="C450" s="18" t="str">
        <f t="shared" si="25"/>
        <v>Sunday</v>
      </c>
      <c r="D450" s="10" t="str">
        <f t="shared" si="26"/>
        <v>Same</v>
      </c>
      <c r="E450" s="2">
        <v>28.36</v>
      </c>
      <c r="F450" s="2">
        <v>8</v>
      </c>
      <c r="G450" s="1">
        <f t="shared" si="27"/>
        <v>0.28208744710860367</v>
      </c>
      <c r="H450" s="2">
        <v>5</v>
      </c>
      <c r="I450" s="26">
        <v>0.74444444444444446</v>
      </c>
      <c r="J450" s="26">
        <v>0.77361111111111114</v>
      </c>
      <c r="K450" s="27">
        <f>Table3[[#This Row],[Delivery Time]]-Table3[[#This Row],[Order Time]]</f>
        <v>2.9166666666666674E-2</v>
      </c>
      <c r="L450" s="43">
        <v>42</v>
      </c>
      <c r="M450" s="25" t="s">
        <v>0</v>
      </c>
      <c r="N450" s="28"/>
      <c r="O450" s="28" t="s">
        <v>39</v>
      </c>
      <c r="P450" s="25" t="s">
        <v>20</v>
      </c>
    </row>
    <row r="451" spans="1:16" x14ac:dyDescent="0.25">
      <c r="A451" s="23">
        <f t="shared" si="24"/>
        <v>450</v>
      </c>
      <c r="B451" s="24">
        <v>43065</v>
      </c>
      <c r="C451" s="18" t="str">
        <f t="shared" si="25"/>
        <v>Sunday</v>
      </c>
      <c r="D451" s="10" t="str">
        <f t="shared" si="26"/>
        <v>Same</v>
      </c>
      <c r="E451" s="2">
        <v>40.21</v>
      </c>
      <c r="F451" s="2">
        <v>7</v>
      </c>
      <c r="G451" s="1">
        <f t="shared" si="27"/>
        <v>0.17408604824670479</v>
      </c>
      <c r="H451" s="2">
        <v>5</v>
      </c>
      <c r="I451" s="26">
        <v>0.75486111111111109</v>
      </c>
      <c r="J451" s="26">
        <v>0.77777777777777779</v>
      </c>
      <c r="K451" s="27">
        <f>Table3[[#This Row],[Delivery Time]]-Table3[[#This Row],[Order Time]]</f>
        <v>2.2916666666666696E-2</v>
      </c>
      <c r="L451" s="43">
        <v>33</v>
      </c>
      <c r="M451" s="25" t="s">
        <v>0</v>
      </c>
      <c r="N451" s="28"/>
      <c r="O451" s="28" t="s">
        <v>39</v>
      </c>
      <c r="P451" s="25" t="s">
        <v>20</v>
      </c>
    </row>
    <row r="452" spans="1:16" x14ac:dyDescent="0.25">
      <c r="A452" s="23">
        <f t="shared" si="24"/>
        <v>451</v>
      </c>
      <c r="B452" s="24">
        <v>43065</v>
      </c>
      <c r="C452" s="18" t="str">
        <f t="shared" si="25"/>
        <v>Sunday</v>
      </c>
      <c r="D452" s="10" t="str">
        <f t="shared" si="26"/>
        <v>Same</v>
      </c>
      <c r="E452" s="2">
        <v>27.06</v>
      </c>
      <c r="F452" s="2">
        <v>7.94</v>
      </c>
      <c r="G452" s="1">
        <f t="shared" si="27"/>
        <v>0.29342202512934223</v>
      </c>
      <c r="H452" s="2">
        <v>1.5</v>
      </c>
      <c r="I452" s="26">
        <v>0.7895833333333333</v>
      </c>
      <c r="J452" s="26">
        <v>0.80763888888888891</v>
      </c>
      <c r="K452" s="27">
        <f>Table3[[#This Row],[Delivery Time]]-Table3[[#This Row],[Order Time]]</f>
        <v>1.8055555555555602E-2</v>
      </c>
      <c r="L452" s="43">
        <v>26</v>
      </c>
      <c r="M452" s="25" t="s">
        <v>0</v>
      </c>
      <c r="N452" s="28"/>
      <c r="O452" s="28" t="s">
        <v>39</v>
      </c>
      <c r="P452" s="25" t="s">
        <v>20</v>
      </c>
    </row>
    <row r="453" spans="1:16" x14ac:dyDescent="0.25">
      <c r="A453" s="23">
        <f t="shared" si="24"/>
        <v>452</v>
      </c>
      <c r="B453" s="24">
        <v>43065</v>
      </c>
      <c r="C453" s="18" t="str">
        <f t="shared" si="25"/>
        <v>Sunday</v>
      </c>
      <c r="D453" s="10" t="str">
        <f t="shared" si="26"/>
        <v>Same</v>
      </c>
      <c r="E453" s="2">
        <v>31.88</v>
      </c>
      <c r="F453" s="2">
        <v>7</v>
      </c>
      <c r="G453" s="1">
        <f t="shared" si="27"/>
        <v>0.21957340025094105</v>
      </c>
      <c r="H453" s="2">
        <v>7</v>
      </c>
      <c r="I453" s="26">
        <v>0.82986111111111116</v>
      </c>
      <c r="J453" s="26">
        <v>0.85277777777777775</v>
      </c>
      <c r="K453" s="27">
        <f>Table3[[#This Row],[Delivery Time]]-Table3[[#This Row],[Order Time]]</f>
        <v>2.2916666666666585E-2</v>
      </c>
      <c r="L453" s="43">
        <v>33</v>
      </c>
      <c r="M453" s="25" t="s">
        <v>0</v>
      </c>
      <c r="N453" s="28"/>
      <c r="O453" s="28" t="s">
        <v>39</v>
      </c>
      <c r="P453" s="25" t="s">
        <v>20</v>
      </c>
    </row>
    <row r="454" spans="1:16" x14ac:dyDescent="0.25">
      <c r="A454" s="23">
        <f t="shared" ref="A454:A517" si="28">ROW(A453)</f>
        <v>453</v>
      </c>
      <c r="B454" s="24">
        <v>43070</v>
      </c>
      <c r="C454" s="18" t="str">
        <f t="shared" ref="C454:C517" si="29">TEXT(B454,"dddd")</f>
        <v>Friday</v>
      </c>
      <c r="D454" s="10" t="str">
        <f t="shared" ref="D454:D517" si="30">IF(B453=B454, "Same", "Different")</f>
        <v>Different</v>
      </c>
      <c r="E454" s="2">
        <v>18.350000000000001</v>
      </c>
      <c r="F454" s="2">
        <v>3.65</v>
      </c>
      <c r="G454" s="1">
        <f t="shared" ref="G454:G517" si="31">F454/E454</f>
        <v>0.19891008174386918</v>
      </c>
      <c r="H454" s="2">
        <v>1.5</v>
      </c>
      <c r="I454" s="26">
        <v>0.7006944444444444</v>
      </c>
      <c r="J454" s="26">
        <v>0.72083333333333333</v>
      </c>
      <c r="K454" s="27">
        <f>Table3[[#This Row],[Delivery Time]]-Table3[[#This Row],[Order Time]]</f>
        <v>2.0138888888888928E-2</v>
      </c>
      <c r="L454" s="43">
        <v>29.000000000000004</v>
      </c>
      <c r="M454" s="25" t="s">
        <v>0</v>
      </c>
      <c r="N454" s="28"/>
      <c r="O454" s="28" t="s">
        <v>39</v>
      </c>
      <c r="P454" s="25" t="s">
        <v>20</v>
      </c>
    </row>
    <row r="455" spans="1:16" x14ac:dyDescent="0.25">
      <c r="A455" s="23">
        <f t="shared" si="28"/>
        <v>454</v>
      </c>
      <c r="B455" s="24">
        <v>43070</v>
      </c>
      <c r="C455" s="18" t="str">
        <f t="shared" si="29"/>
        <v>Friday</v>
      </c>
      <c r="D455" s="10" t="str">
        <f t="shared" si="30"/>
        <v>Same</v>
      </c>
      <c r="E455" s="2">
        <v>36.479999999999997</v>
      </c>
      <c r="F455" s="2">
        <v>5</v>
      </c>
      <c r="G455" s="1">
        <f t="shared" si="31"/>
        <v>0.13706140350877194</v>
      </c>
      <c r="H455" s="2">
        <v>5</v>
      </c>
      <c r="I455" s="26">
        <v>0.70347222222222217</v>
      </c>
      <c r="J455" s="26">
        <v>0.73333333333333339</v>
      </c>
      <c r="K455" s="27">
        <f>Table3[[#This Row],[Delivery Time]]-Table3[[#This Row],[Order Time]]</f>
        <v>2.9861111111111227E-2</v>
      </c>
      <c r="L455" s="43">
        <v>43</v>
      </c>
      <c r="M455" s="25" t="s">
        <v>0</v>
      </c>
      <c r="N455" s="28"/>
      <c r="O455" s="28" t="s">
        <v>39</v>
      </c>
      <c r="P455" s="25" t="s">
        <v>20</v>
      </c>
    </row>
    <row r="456" spans="1:16" x14ac:dyDescent="0.25">
      <c r="A456" s="23">
        <f t="shared" si="28"/>
        <v>455</v>
      </c>
      <c r="B456" s="24">
        <v>43070</v>
      </c>
      <c r="C456" s="18" t="str">
        <f t="shared" si="29"/>
        <v>Friday</v>
      </c>
      <c r="D456" s="10" t="str">
        <f t="shared" si="30"/>
        <v>Same</v>
      </c>
      <c r="E456" s="2">
        <v>44.27</v>
      </c>
      <c r="F456" s="2">
        <v>6</v>
      </c>
      <c r="G456" s="1">
        <f t="shared" si="31"/>
        <v>0.1355319629545968</v>
      </c>
      <c r="H456" s="2">
        <v>1.5</v>
      </c>
      <c r="I456" s="26">
        <v>0.76597222222222217</v>
      </c>
      <c r="J456" s="26">
        <v>0.78888888888888886</v>
      </c>
      <c r="K456" s="27">
        <f>Table3[[#This Row],[Delivery Time]]-Table3[[#This Row],[Order Time]]</f>
        <v>2.2916666666666696E-2</v>
      </c>
      <c r="L456" s="43">
        <v>33</v>
      </c>
      <c r="M456" s="25" t="s">
        <v>11</v>
      </c>
      <c r="N456" s="28"/>
      <c r="O456" s="28" t="s">
        <v>39</v>
      </c>
      <c r="P456" s="25" t="s">
        <v>20</v>
      </c>
    </row>
    <row r="457" spans="1:16" x14ac:dyDescent="0.25">
      <c r="A457" s="23">
        <f t="shared" si="28"/>
        <v>456</v>
      </c>
      <c r="B457" s="24">
        <v>43070</v>
      </c>
      <c r="C457" s="18" t="str">
        <f t="shared" si="29"/>
        <v>Friday</v>
      </c>
      <c r="D457" s="10" t="str">
        <f t="shared" si="30"/>
        <v>Same</v>
      </c>
      <c r="E457" s="2">
        <v>46.44</v>
      </c>
      <c r="F457" s="2">
        <v>8.56</v>
      </c>
      <c r="G457" s="1">
        <f t="shared" si="31"/>
        <v>0.1843238587424634</v>
      </c>
      <c r="H457" s="2">
        <v>1.5</v>
      </c>
      <c r="I457" s="26">
        <v>0.77083333333333337</v>
      </c>
      <c r="J457" s="26">
        <v>0.79513888888888884</v>
      </c>
      <c r="K457" s="27">
        <f>Table3[[#This Row],[Delivery Time]]-Table3[[#This Row],[Order Time]]</f>
        <v>2.4305555555555469E-2</v>
      </c>
      <c r="L457" s="43">
        <v>35</v>
      </c>
      <c r="M457" s="25" t="s">
        <v>11</v>
      </c>
      <c r="N457" s="28"/>
      <c r="O457" s="28" t="s">
        <v>39</v>
      </c>
      <c r="P457" s="25" t="s">
        <v>20</v>
      </c>
    </row>
    <row r="458" spans="1:16" x14ac:dyDescent="0.25">
      <c r="A458" s="23">
        <f t="shared" si="28"/>
        <v>457</v>
      </c>
      <c r="B458" s="24">
        <v>43070</v>
      </c>
      <c r="C458" s="18" t="str">
        <f t="shared" si="29"/>
        <v>Friday</v>
      </c>
      <c r="D458" s="10" t="str">
        <f t="shared" si="30"/>
        <v>Same</v>
      </c>
      <c r="E458" s="2">
        <v>21.33</v>
      </c>
      <c r="F458" s="2">
        <v>3</v>
      </c>
      <c r="G458" s="1">
        <f t="shared" si="31"/>
        <v>0.14064697609001409</v>
      </c>
      <c r="H458" s="2">
        <v>1.5</v>
      </c>
      <c r="I458" s="26">
        <v>0.77430555555555547</v>
      </c>
      <c r="J458" s="26">
        <v>0.80833333333333324</v>
      </c>
      <c r="K458" s="27">
        <f>Table3[[#This Row],[Delivery Time]]-Table3[[#This Row],[Order Time]]</f>
        <v>3.4027777777777768E-2</v>
      </c>
      <c r="L458" s="43">
        <v>49</v>
      </c>
      <c r="M458" s="25" t="s">
        <v>11</v>
      </c>
      <c r="N458" s="28"/>
      <c r="O458" s="28" t="s">
        <v>41</v>
      </c>
      <c r="P458" s="25" t="s">
        <v>20</v>
      </c>
    </row>
    <row r="459" spans="1:16" x14ac:dyDescent="0.25">
      <c r="A459" s="23">
        <f t="shared" si="28"/>
        <v>458</v>
      </c>
      <c r="B459" s="24">
        <v>43070</v>
      </c>
      <c r="C459" s="18" t="str">
        <f t="shared" si="29"/>
        <v>Friday</v>
      </c>
      <c r="D459" s="10" t="str">
        <f t="shared" si="30"/>
        <v>Same</v>
      </c>
      <c r="E459" s="2">
        <v>44.27</v>
      </c>
      <c r="F459" s="2">
        <v>20</v>
      </c>
      <c r="G459" s="1">
        <f t="shared" si="31"/>
        <v>0.45177320984865593</v>
      </c>
      <c r="H459" s="2">
        <v>5</v>
      </c>
      <c r="I459" s="26">
        <v>0.83680555555555547</v>
      </c>
      <c r="J459" s="26">
        <v>0.86249999999999993</v>
      </c>
      <c r="K459" s="27">
        <f>Table3[[#This Row],[Delivery Time]]-Table3[[#This Row],[Order Time]]</f>
        <v>2.5694444444444464E-2</v>
      </c>
      <c r="L459" s="43">
        <v>37</v>
      </c>
      <c r="M459" s="25" t="s">
        <v>0</v>
      </c>
      <c r="N459" s="28"/>
      <c r="O459" s="28" t="s">
        <v>39</v>
      </c>
      <c r="P459" s="25" t="s">
        <v>20</v>
      </c>
    </row>
    <row r="460" spans="1:16" x14ac:dyDescent="0.25">
      <c r="A460" s="23">
        <f t="shared" si="28"/>
        <v>459</v>
      </c>
      <c r="B460" s="24">
        <v>43070</v>
      </c>
      <c r="C460" s="18" t="str">
        <f t="shared" si="29"/>
        <v>Friday</v>
      </c>
      <c r="D460" s="10" t="str">
        <f t="shared" si="30"/>
        <v>Same</v>
      </c>
      <c r="E460" s="2">
        <v>23.27</v>
      </c>
      <c r="F460" s="2">
        <v>5</v>
      </c>
      <c r="G460" s="1">
        <f t="shared" si="31"/>
        <v>0.21486892995272883</v>
      </c>
      <c r="H460" s="2">
        <v>1.5</v>
      </c>
      <c r="I460" s="26">
        <v>0.87708333333333333</v>
      </c>
      <c r="J460" s="26">
        <v>0.89444444444444438</v>
      </c>
      <c r="K460" s="27">
        <f>Table3[[#This Row],[Delivery Time]]-Table3[[#This Row],[Order Time]]</f>
        <v>1.7361111111111049E-2</v>
      </c>
      <c r="L460" s="43">
        <v>25</v>
      </c>
      <c r="M460" s="25" t="s">
        <v>11</v>
      </c>
      <c r="N460" s="28"/>
      <c r="O460" s="28" t="s">
        <v>41</v>
      </c>
      <c r="P460" s="25" t="s">
        <v>20</v>
      </c>
    </row>
    <row r="461" spans="1:16" x14ac:dyDescent="0.25">
      <c r="A461" s="23">
        <f t="shared" si="28"/>
        <v>460</v>
      </c>
      <c r="B461" s="24">
        <v>43071</v>
      </c>
      <c r="C461" s="18" t="str">
        <f t="shared" si="29"/>
        <v>Saturday</v>
      </c>
      <c r="D461" s="10" t="str">
        <f t="shared" si="30"/>
        <v>Different</v>
      </c>
      <c r="E461" s="2">
        <v>29.66</v>
      </c>
      <c r="F461" s="2">
        <v>5</v>
      </c>
      <c r="G461" s="1">
        <f t="shared" si="31"/>
        <v>0.16857720836142953</v>
      </c>
      <c r="H461" s="2">
        <v>5</v>
      </c>
      <c r="I461" s="26">
        <v>0.72916666666666663</v>
      </c>
      <c r="J461" s="26">
        <v>0.72916666666666663</v>
      </c>
      <c r="K461" s="27">
        <f>Table3[[#This Row],[Delivery Time]]-Table3[[#This Row],[Order Time]]</f>
        <v>0</v>
      </c>
      <c r="L461" s="43">
        <v>0</v>
      </c>
      <c r="M461" s="25" t="s">
        <v>0</v>
      </c>
      <c r="N461" s="28"/>
      <c r="O461" s="28" t="s">
        <v>39</v>
      </c>
      <c r="P461" s="25" t="s">
        <v>16</v>
      </c>
    </row>
    <row r="462" spans="1:16" x14ac:dyDescent="0.25">
      <c r="A462" s="23">
        <f t="shared" si="28"/>
        <v>461</v>
      </c>
      <c r="B462" s="24">
        <v>43071</v>
      </c>
      <c r="C462" s="18" t="str">
        <f t="shared" si="29"/>
        <v>Saturday</v>
      </c>
      <c r="D462" s="10" t="str">
        <f t="shared" si="30"/>
        <v>Same</v>
      </c>
      <c r="E462" s="2">
        <v>32.69</v>
      </c>
      <c r="F462" s="2">
        <v>7</v>
      </c>
      <c r="G462" s="1">
        <f t="shared" si="31"/>
        <v>0.21413276231263384</v>
      </c>
      <c r="H462" s="2">
        <v>1.5</v>
      </c>
      <c r="I462" s="26">
        <v>0.73125000000000007</v>
      </c>
      <c r="J462" s="26">
        <v>0.75208333333333333</v>
      </c>
      <c r="K462" s="27">
        <f>Table3[[#This Row],[Delivery Time]]-Table3[[#This Row],[Order Time]]</f>
        <v>2.0833333333333259E-2</v>
      </c>
      <c r="L462" s="43">
        <v>30</v>
      </c>
      <c r="M462" s="25" t="s">
        <v>0</v>
      </c>
      <c r="N462" s="28"/>
      <c r="O462" s="28" t="s">
        <v>41</v>
      </c>
      <c r="P462" s="25" t="s">
        <v>20</v>
      </c>
    </row>
    <row r="463" spans="1:16" x14ac:dyDescent="0.25">
      <c r="A463" s="23">
        <f t="shared" si="28"/>
        <v>462</v>
      </c>
      <c r="B463" s="24">
        <v>43071</v>
      </c>
      <c r="C463" s="18" t="str">
        <f t="shared" si="29"/>
        <v>Saturday</v>
      </c>
      <c r="D463" s="10" t="str">
        <f t="shared" si="30"/>
        <v>Same</v>
      </c>
      <c r="E463" s="2">
        <v>35.72</v>
      </c>
      <c r="F463" s="2">
        <v>6</v>
      </c>
      <c r="G463" s="1">
        <f t="shared" si="31"/>
        <v>0.16797312430011199</v>
      </c>
      <c r="H463" s="2">
        <v>1.5</v>
      </c>
      <c r="I463" s="26">
        <v>0.75416666666666676</v>
      </c>
      <c r="J463" s="26">
        <v>0.78055555555555556</v>
      </c>
      <c r="K463" s="27">
        <f>Table3[[#This Row],[Delivery Time]]-Table3[[#This Row],[Order Time]]</f>
        <v>2.6388888888888795E-2</v>
      </c>
      <c r="L463" s="43">
        <v>38</v>
      </c>
      <c r="M463" s="25" t="s">
        <v>0</v>
      </c>
      <c r="N463" s="28"/>
      <c r="O463" s="28" t="s">
        <v>41</v>
      </c>
      <c r="P463" s="25" t="s">
        <v>20</v>
      </c>
    </row>
    <row r="464" spans="1:16" x14ac:dyDescent="0.25">
      <c r="A464" s="23">
        <f t="shared" si="28"/>
        <v>463</v>
      </c>
      <c r="B464" s="24">
        <v>43071</v>
      </c>
      <c r="C464" s="18" t="str">
        <f t="shared" si="29"/>
        <v>Saturday</v>
      </c>
      <c r="D464" s="10" t="str">
        <f t="shared" si="30"/>
        <v>Same</v>
      </c>
      <c r="E464" s="2">
        <v>29.99</v>
      </c>
      <c r="F464" s="2">
        <v>4</v>
      </c>
      <c r="G464" s="1">
        <f t="shared" si="31"/>
        <v>0.13337779259753252</v>
      </c>
      <c r="H464" s="2">
        <v>1.5</v>
      </c>
      <c r="I464" s="26">
        <v>0.76250000000000007</v>
      </c>
      <c r="J464" s="26">
        <v>0.78680555555555554</v>
      </c>
      <c r="K464" s="27">
        <f>Table3[[#This Row],[Delivery Time]]-Table3[[#This Row],[Order Time]]</f>
        <v>2.4305555555555469E-2</v>
      </c>
      <c r="L464" s="43">
        <v>35</v>
      </c>
      <c r="M464" s="25" t="s">
        <v>0</v>
      </c>
      <c r="N464" s="28"/>
      <c r="O464" s="28" t="s">
        <v>39</v>
      </c>
      <c r="P464" s="25" t="s">
        <v>20</v>
      </c>
    </row>
    <row r="465" spans="1:16" x14ac:dyDescent="0.25">
      <c r="A465" s="23">
        <f t="shared" si="28"/>
        <v>464</v>
      </c>
      <c r="B465" s="24">
        <v>43071</v>
      </c>
      <c r="C465" s="18" t="str">
        <f t="shared" si="29"/>
        <v>Saturday</v>
      </c>
      <c r="D465" s="10" t="str">
        <f t="shared" si="30"/>
        <v>Same</v>
      </c>
      <c r="E465" s="2">
        <v>99.2</v>
      </c>
      <c r="F465" s="2">
        <v>10</v>
      </c>
      <c r="G465" s="1">
        <f t="shared" si="31"/>
        <v>0.10080645161290322</v>
      </c>
      <c r="H465" s="2">
        <v>1.5</v>
      </c>
      <c r="I465" s="26">
        <v>0.7993055555555556</v>
      </c>
      <c r="J465" s="26">
        <v>0.82500000000000007</v>
      </c>
      <c r="K465" s="27">
        <f>Table3[[#This Row],[Delivery Time]]-Table3[[#This Row],[Order Time]]</f>
        <v>2.5694444444444464E-2</v>
      </c>
      <c r="L465" s="43">
        <v>37</v>
      </c>
      <c r="M465" s="25" t="s">
        <v>0</v>
      </c>
      <c r="N465" s="28"/>
      <c r="O465" s="28" t="s">
        <v>39</v>
      </c>
      <c r="P465" s="25" t="s">
        <v>20</v>
      </c>
    </row>
    <row r="466" spans="1:16" x14ac:dyDescent="0.25">
      <c r="A466" s="23">
        <f t="shared" si="28"/>
        <v>465</v>
      </c>
      <c r="B466" s="24">
        <v>43071</v>
      </c>
      <c r="C466" s="18" t="str">
        <f t="shared" si="29"/>
        <v>Saturday</v>
      </c>
      <c r="D466" s="10" t="str">
        <f t="shared" si="30"/>
        <v>Same</v>
      </c>
      <c r="E466" s="2">
        <v>28.63</v>
      </c>
      <c r="F466" s="2">
        <v>6</v>
      </c>
      <c r="G466" s="1">
        <f t="shared" si="31"/>
        <v>0.20957038071952497</v>
      </c>
      <c r="H466" s="2">
        <v>1.5</v>
      </c>
      <c r="I466" s="26">
        <v>0.82430555555555562</v>
      </c>
      <c r="J466" s="26">
        <v>0.84722222222222221</v>
      </c>
      <c r="K466" s="27">
        <f>Table3[[#This Row],[Delivery Time]]-Table3[[#This Row],[Order Time]]</f>
        <v>2.2916666666666585E-2</v>
      </c>
      <c r="L466" s="43">
        <v>33</v>
      </c>
      <c r="M466" s="25" t="s">
        <v>11</v>
      </c>
      <c r="N466" s="28"/>
      <c r="O466" s="28" t="s">
        <v>39</v>
      </c>
      <c r="P466" s="25" t="s">
        <v>20</v>
      </c>
    </row>
    <row r="467" spans="1:16" x14ac:dyDescent="0.25">
      <c r="A467" s="23">
        <f t="shared" si="28"/>
        <v>466</v>
      </c>
      <c r="B467" s="24">
        <v>43071</v>
      </c>
      <c r="C467" s="18" t="str">
        <f t="shared" si="29"/>
        <v>Saturday</v>
      </c>
      <c r="D467" s="10" t="str">
        <f t="shared" si="30"/>
        <v>Same</v>
      </c>
      <c r="E467" s="2">
        <v>17.86</v>
      </c>
      <c r="F467" s="2">
        <v>3.14</v>
      </c>
      <c r="G467" s="1">
        <f t="shared" si="31"/>
        <v>0.17581187010078389</v>
      </c>
      <c r="H467" s="2">
        <v>1.5</v>
      </c>
      <c r="I467" s="26">
        <v>0.83333333333333337</v>
      </c>
      <c r="J467" s="26">
        <v>0.85277777777777775</v>
      </c>
      <c r="K467" s="27">
        <f>Table3[[#This Row],[Delivery Time]]-Table3[[#This Row],[Order Time]]</f>
        <v>1.9444444444444375E-2</v>
      </c>
      <c r="L467" s="43">
        <v>28</v>
      </c>
      <c r="M467" s="25" t="s">
        <v>11</v>
      </c>
      <c r="N467" s="28"/>
      <c r="O467" s="28" t="s">
        <v>39</v>
      </c>
      <c r="P467" s="25" t="s">
        <v>20</v>
      </c>
    </row>
    <row r="468" spans="1:16" x14ac:dyDescent="0.25">
      <c r="A468" s="23">
        <f t="shared" si="28"/>
        <v>467</v>
      </c>
      <c r="B468" s="24">
        <v>43072</v>
      </c>
      <c r="C468" s="18" t="str">
        <f t="shared" si="29"/>
        <v>Sunday</v>
      </c>
      <c r="D468" s="10" t="str">
        <f t="shared" si="30"/>
        <v>Different</v>
      </c>
      <c r="E468" s="2">
        <v>52.34</v>
      </c>
      <c r="F468" s="2">
        <v>5</v>
      </c>
      <c r="G468" s="1">
        <f t="shared" si="31"/>
        <v>9.552923194497516E-2</v>
      </c>
      <c r="H468" s="2">
        <v>1.5</v>
      </c>
      <c r="I468" s="26">
        <v>0.70277777777777783</v>
      </c>
      <c r="J468" s="26">
        <v>0.72222222222222221</v>
      </c>
      <c r="K468" s="27">
        <f>Table3[[#This Row],[Delivery Time]]-Table3[[#This Row],[Order Time]]</f>
        <v>1.9444444444444375E-2</v>
      </c>
      <c r="L468" s="43">
        <v>28</v>
      </c>
      <c r="M468" s="25" t="s">
        <v>0</v>
      </c>
      <c r="N468" s="28"/>
      <c r="O468" s="28" t="s">
        <v>39</v>
      </c>
      <c r="P468" s="25" t="s">
        <v>20</v>
      </c>
    </row>
    <row r="469" spans="1:16" x14ac:dyDescent="0.25">
      <c r="A469" s="23">
        <f t="shared" si="28"/>
        <v>468</v>
      </c>
      <c r="B469" s="24">
        <v>43072</v>
      </c>
      <c r="C469" s="18" t="str">
        <f t="shared" si="29"/>
        <v>Sunday</v>
      </c>
      <c r="D469" s="10" t="str">
        <f t="shared" si="30"/>
        <v>Same</v>
      </c>
      <c r="E469" s="2">
        <v>27.01</v>
      </c>
      <c r="F469" s="2">
        <v>5</v>
      </c>
      <c r="G469" s="1">
        <f t="shared" si="31"/>
        <v>0.18511662347278784</v>
      </c>
      <c r="H469" s="2">
        <v>1.5</v>
      </c>
      <c r="I469" s="26">
        <v>0.75069444444444444</v>
      </c>
      <c r="J469" s="26">
        <v>0.76458333333333339</v>
      </c>
      <c r="K469" s="27">
        <f>Table3[[#This Row],[Delivery Time]]-Table3[[#This Row],[Order Time]]</f>
        <v>1.3888888888888951E-2</v>
      </c>
      <c r="L469" s="43">
        <v>20</v>
      </c>
      <c r="M469" s="25" t="s">
        <v>11</v>
      </c>
      <c r="N469" s="28"/>
      <c r="O469" s="28" t="s">
        <v>41</v>
      </c>
      <c r="P469" s="25" t="s">
        <v>20</v>
      </c>
    </row>
    <row r="470" spans="1:16" x14ac:dyDescent="0.25">
      <c r="A470" s="23">
        <f t="shared" si="28"/>
        <v>469</v>
      </c>
      <c r="B470" s="24">
        <v>43072</v>
      </c>
      <c r="C470" s="18" t="str">
        <f t="shared" si="29"/>
        <v>Sunday</v>
      </c>
      <c r="D470" s="10" t="str">
        <f t="shared" si="30"/>
        <v>Same</v>
      </c>
      <c r="E470" s="2">
        <v>39.4</v>
      </c>
      <c r="F470" s="2">
        <v>5</v>
      </c>
      <c r="G470" s="1">
        <f t="shared" si="31"/>
        <v>0.12690355329949238</v>
      </c>
      <c r="H470" s="2">
        <v>1.5</v>
      </c>
      <c r="I470" s="26">
        <v>0.7680555555555556</v>
      </c>
      <c r="J470" s="26">
        <v>0.78819444444444453</v>
      </c>
      <c r="K470" s="27">
        <f>Table3[[#This Row],[Delivery Time]]-Table3[[#This Row],[Order Time]]</f>
        <v>2.0138888888888928E-2</v>
      </c>
      <c r="L470" s="43">
        <v>29.000000000000004</v>
      </c>
      <c r="M470" s="25" t="s">
        <v>0</v>
      </c>
      <c r="N470" s="28"/>
      <c r="O470" s="28" t="s">
        <v>39</v>
      </c>
      <c r="P470" s="25" t="s">
        <v>20</v>
      </c>
    </row>
    <row r="471" spans="1:16" x14ac:dyDescent="0.25">
      <c r="A471" s="23">
        <f t="shared" si="28"/>
        <v>470</v>
      </c>
      <c r="B471" s="24">
        <v>43072</v>
      </c>
      <c r="C471" s="18" t="str">
        <f t="shared" si="29"/>
        <v>Sunday</v>
      </c>
      <c r="D471" s="10" t="str">
        <f t="shared" si="30"/>
        <v>Same</v>
      </c>
      <c r="E471" s="2">
        <v>30.04</v>
      </c>
      <c r="F471" s="2">
        <v>6</v>
      </c>
      <c r="G471" s="1">
        <f t="shared" si="31"/>
        <v>0.19973368841544609</v>
      </c>
      <c r="H471" s="2">
        <v>1.5</v>
      </c>
      <c r="I471" s="26">
        <v>0.76944444444444438</v>
      </c>
      <c r="J471" s="26">
        <v>0.80208333333333337</v>
      </c>
      <c r="K471" s="27">
        <f>Table3[[#This Row],[Delivery Time]]-Table3[[#This Row],[Order Time]]</f>
        <v>3.2638888888888995E-2</v>
      </c>
      <c r="L471" s="43">
        <v>47.000000000000007</v>
      </c>
      <c r="M471" s="25" t="s">
        <v>0</v>
      </c>
      <c r="N471" s="28"/>
      <c r="O471" s="28" t="s">
        <v>41</v>
      </c>
      <c r="P471" s="25" t="s">
        <v>20</v>
      </c>
    </row>
    <row r="472" spans="1:16" x14ac:dyDescent="0.25">
      <c r="A472" s="23">
        <f t="shared" si="28"/>
        <v>471</v>
      </c>
      <c r="B472" s="24">
        <v>43077</v>
      </c>
      <c r="C472" s="18" t="str">
        <f t="shared" si="29"/>
        <v>Friday</v>
      </c>
      <c r="D472" s="10" t="str">
        <f t="shared" si="30"/>
        <v>Different</v>
      </c>
      <c r="E472" s="2">
        <v>36.159999999999997</v>
      </c>
      <c r="F472" s="2">
        <v>7</v>
      </c>
      <c r="G472" s="1">
        <f t="shared" si="31"/>
        <v>0.1935840707964602</v>
      </c>
      <c r="H472" s="2">
        <v>5</v>
      </c>
      <c r="I472" s="26">
        <v>0.68472222222222223</v>
      </c>
      <c r="J472" s="26">
        <v>0.71458333333333324</v>
      </c>
      <c r="K472" s="27">
        <f>Table3[[#This Row],[Delivery Time]]-Table3[[#This Row],[Order Time]]</f>
        <v>2.9861111111111005E-2</v>
      </c>
      <c r="L472" s="43">
        <v>43</v>
      </c>
      <c r="M472" s="25" t="s">
        <v>0</v>
      </c>
      <c r="N472" s="28"/>
      <c r="O472" s="28" t="s">
        <v>39</v>
      </c>
      <c r="P472" s="25" t="s">
        <v>20</v>
      </c>
    </row>
    <row r="473" spans="1:16" x14ac:dyDescent="0.25">
      <c r="A473" s="23">
        <f t="shared" si="28"/>
        <v>472</v>
      </c>
      <c r="B473" s="24">
        <v>43077</v>
      </c>
      <c r="C473" s="18" t="str">
        <f t="shared" si="29"/>
        <v>Friday</v>
      </c>
      <c r="D473" s="10" t="str">
        <f t="shared" si="30"/>
        <v>Same</v>
      </c>
      <c r="E473" s="2">
        <v>42.43</v>
      </c>
      <c r="F473" s="2">
        <v>6</v>
      </c>
      <c r="G473" s="1">
        <f t="shared" si="31"/>
        <v>0.14140938015555032</v>
      </c>
      <c r="H473" s="2">
        <v>5</v>
      </c>
      <c r="I473" s="26">
        <v>0.68888888888888899</v>
      </c>
      <c r="J473" s="26">
        <v>0.71736111111111101</v>
      </c>
      <c r="K473" s="27">
        <f>Table3[[#This Row],[Delivery Time]]-Table3[[#This Row],[Order Time]]</f>
        <v>2.847222222222201E-2</v>
      </c>
      <c r="L473" s="43">
        <v>41</v>
      </c>
      <c r="M473" s="25" t="s">
        <v>0</v>
      </c>
      <c r="N473" s="28"/>
      <c r="O473" s="28" t="s">
        <v>39</v>
      </c>
      <c r="P473" s="25" t="s">
        <v>20</v>
      </c>
    </row>
    <row r="474" spans="1:16" x14ac:dyDescent="0.25">
      <c r="A474" s="23">
        <f t="shared" si="28"/>
        <v>473</v>
      </c>
      <c r="B474" s="24">
        <v>43077</v>
      </c>
      <c r="C474" s="18" t="str">
        <f t="shared" si="29"/>
        <v>Friday</v>
      </c>
      <c r="D474" s="10" t="str">
        <f t="shared" si="30"/>
        <v>Same</v>
      </c>
      <c r="E474" s="2">
        <v>89.74</v>
      </c>
      <c r="F474" s="2">
        <v>5</v>
      </c>
      <c r="G474" s="1">
        <f t="shared" si="31"/>
        <v>5.5716514374860714E-2</v>
      </c>
      <c r="H474" s="2">
        <v>1.5</v>
      </c>
      <c r="I474" s="26">
        <v>0.74236111111111114</v>
      </c>
      <c r="J474" s="26">
        <v>0.76458333333333339</v>
      </c>
      <c r="K474" s="27">
        <f>Table3[[#This Row],[Delivery Time]]-Table3[[#This Row],[Order Time]]</f>
        <v>2.2222222222222254E-2</v>
      </c>
      <c r="L474" s="43">
        <v>32</v>
      </c>
      <c r="M474" s="25" t="s">
        <v>12</v>
      </c>
      <c r="N474" s="28"/>
      <c r="O474" s="28" t="s">
        <v>39</v>
      </c>
      <c r="P474" s="25" t="s">
        <v>20</v>
      </c>
    </row>
    <row r="475" spans="1:16" x14ac:dyDescent="0.25">
      <c r="A475" s="23">
        <f t="shared" si="28"/>
        <v>474</v>
      </c>
      <c r="B475" s="24">
        <v>43077</v>
      </c>
      <c r="C475" s="18" t="str">
        <f t="shared" si="29"/>
        <v>Friday</v>
      </c>
      <c r="D475" s="10" t="str">
        <f t="shared" si="30"/>
        <v>Same</v>
      </c>
      <c r="E475" s="2">
        <v>19.7</v>
      </c>
      <c r="F475" s="2">
        <v>4</v>
      </c>
      <c r="G475" s="1">
        <f t="shared" si="31"/>
        <v>0.20304568527918782</v>
      </c>
      <c r="H475" s="2">
        <v>5</v>
      </c>
      <c r="I475" s="26">
        <v>0.7416666666666667</v>
      </c>
      <c r="J475" s="26">
        <v>0.77777777777777779</v>
      </c>
      <c r="K475" s="27">
        <f>Table3[[#This Row],[Delivery Time]]-Table3[[#This Row],[Order Time]]</f>
        <v>3.6111111111111094E-2</v>
      </c>
      <c r="L475" s="43">
        <v>52</v>
      </c>
      <c r="M475" s="25" t="s">
        <v>0</v>
      </c>
      <c r="N475" s="28"/>
      <c r="O475" s="28" t="s">
        <v>39</v>
      </c>
      <c r="P475" s="25" t="s">
        <v>20</v>
      </c>
    </row>
    <row r="476" spans="1:16" x14ac:dyDescent="0.25">
      <c r="A476" s="23">
        <f t="shared" si="28"/>
        <v>475</v>
      </c>
      <c r="B476" s="24">
        <v>43077</v>
      </c>
      <c r="C476" s="18" t="str">
        <f t="shared" si="29"/>
        <v>Friday</v>
      </c>
      <c r="D476" s="10" t="str">
        <f t="shared" si="30"/>
        <v>Same</v>
      </c>
      <c r="E476" s="2">
        <v>45.9</v>
      </c>
      <c r="F476" s="2">
        <v>6.5</v>
      </c>
      <c r="G476" s="1">
        <f t="shared" si="31"/>
        <v>0.14161220043572986</v>
      </c>
      <c r="H476" s="2">
        <v>1.5</v>
      </c>
      <c r="I476" s="26">
        <v>0.79652777777777783</v>
      </c>
      <c r="J476" s="26">
        <v>0.81458333333333333</v>
      </c>
      <c r="K476" s="27">
        <f>Table3[[#This Row],[Delivery Time]]-Table3[[#This Row],[Order Time]]</f>
        <v>1.8055555555555491E-2</v>
      </c>
      <c r="L476" s="43">
        <v>26</v>
      </c>
      <c r="M476" s="25" t="s">
        <v>0</v>
      </c>
      <c r="N476" s="28" t="s">
        <v>24</v>
      </c>
      <c r="O476" s="28" t="s">
        <v>39</v>
      </c>
      <c r="P476" s="25" t="s">
        <v>20</v>
      </c>
    </row>
    <row r="477" spans="1:16" x14ac:dyDescent="0.25">
      <c r="A477" s="23">
        <f t="shared" si="28"/>
        <v>476</v>
      </c>
      <c r="B477" s="24">
        <v>43077</v>
      </c>
      <c r="C477" s="18" t="str">
        <f t="shared" si="29"/>
        <v>Friday</v>
      </c>
      <c r="D477" s="10" t="str">
        <f t="shared" si="30"/>
        <v>Same</v>
      </c>
      <c r="E477" s="2">
        <v>56.02</v>
      </c>
      <c r="F477" s="2">
        <v>12</v>
      </c>
      <c r="G477" s="1">
        <f t="shared" si="31"/>
        <v>0.21420921099607282</v>
      </c>
      <c r="H477" s="2">
        <v>1.5</v>
      </c>
      <c r="I477" s="26">
        <v>0.78819444444444453</v>
      </c>
      <c r="J477" s="26">
        <v>0.82013888888888886</v>
      </c>
      <c r="K477" s="27">
        <f>Table3[[#This Row],[Delivery Time]]-Table3[[#This Row],[Order Time]]</f>
        <v>3.1944444444444331E-2</v>
      </c>
      <c r="L477" s="43">
        <v>46.000000000000007</v>
      </c>
      <c r="M477" s="25" t="s">
        <v>0</v>
      </c>
      <c r="N477" s="28"/>
      <c r="O477" s="28" t="s">
        <v>39</v>
      </c>
      <c r="P477" s="25" t="s">
        <v>20</v>
      </c>
    </row>
    <row r="478" spans="1:16" x14ac:dyDescent="0.25">
      <c r="A478" s="23">
        <f t="shared" si="28"/>
        <v>477</v>
      </c>
      <c r="B478" s="24">
        <v>43077</v>
      </c>
      <c r="C478" s="18" t="str">
        <f t="shared" si="29"/>
        <v>Friday</v>
      </c>
      <c r="D478" s="10" t="str">
        <f t="shared" si="30"/>
        <v>Same</v>
      </c>
      <c r="E478" s="2">
        <v>39.19</v>
      </c>
      <c r="F478" s="2">
        <v>7</v>
      </c>
      <c r="G478" s="1">
        <f t="shared" si="31"/>
        <v>0.17861699413115592</v>
      </c>
      <c r="H478" s="2">
        <v>1.5</v>
      </c>
      <c r="I478" s="26">
        <v>0.82430555555555562</v>
      </c>
      <c r="J478" s="26">
        <v>0.84027777777777779</v>
      </c>
      <c r="K478" s="27">
        <f>Table3[[#This Row],[Delivery Time]]-Table3[[#This Row],[Order Time]]</f>
        <v>1.5972222222222165E-2</v>
      </c>
      <c r="L478" s="43">
        <v>23.000000000000004</v>
      </c>
      <c r="M478" s="25" t="s">
        <v>0</v>
      </c>
      <c r="N478" s="28"/>
      <c r="O478" s="28" t="s">
        <v>39</v>
      </c>
      <c r="P478" s="25" t="s">
        <v>20</v>
      </c>
    </row>
    <row r="479" spans="1:16" x14ac:dyDescent="0.25">
      <c r="A479" s="23">
        <f t="shared" si="28"/>
        <v>478</v>
      </c>
      <c r="B479" s="24">
        <v>43077</v>
      </c>
      <c r="C479" s="18" t="str">
        <f t="shared" si="29"/>
        <v>Friday</v>
      </c>
      <c r="D479" s="10" t="str">
        <f t="shared" si="30"/>
        <v>Same</v>
      </c>
      <c r="E479" s="2">
        <v>53.38</v>
      </c>
      <c r="F479" s="2">
        <v>3</v>
      </c>
      <c r="G479" s="1">
        <f t="shared" si="31"/>
        <v>5.6200824278756084E-2</v>
      </c>
      <c r="H479" s="2">
        <v>1.5</v>
      </c>
      <c r="I479" s="26">
        <v>0.84791666666666676</v>
      </c>
      <c r="J479" s="26">
        <v>0.86458333333333337</v>
      </c>
      <c r="K479" s="27">
        <f>Table3[[#This Row],[Delivery Time]]-Table3[[#This Row],[Order Time]]</f>
        <v>1.6666666666666607E-2</v>
      </c>
      <c r="L479" s="43">
        <v>24</v>
      </c>
      <c r="M479" s="25" t="s">
        <v>0</v>
      </c>
      <c r="N479" s="28"/>
      <c r="O479" s="28" t="s">
        <v>40</v>
      </c>
      <c r="P479" s="25" t="s">
        <v>20</v>
      </c>
    </row>
    <row r="480" spans="1:16" x14ac:dyDescent="0.25">
      <c r="A480" s="23">
        <f t="shared" si="28"/>
        <v>479</v>
      </c>
      <c r="B480" s="24">
        <v>43077</v>
      </c>
      <c r="C480" s="18" t="str">
        <f t="shared" si="29"/>
        <v>Friday</v>
      </c>
      <c r="D480" s="10" t="str">
        <f t="shared" si="30"/>
        <v>Same</v>
      </c>
      <c r="E480" s="2">
        <v>27.44</v>
      </c>
      <c r="F480" s="2">
        <v>3</v>
      </c>
      <c r="G480" s="1">
        <f t="shared" si="31"/>
        <v>0.10932944606413994</v>
      </c>
      <c r="H480" s="2">
        <v>1.5</v>
      </c>
      <c r="I480" s="26">
        <v>0.86875000000000002</v>
      </c>
      <c r="J480" s="26">
        <v>0.8833333333333333</v>
      </c>
      <c r="K480" s="27">
        <f>Table3[[#This Row],[Delivery Time]]-Table3[[#This Row],[Order Time]]</f>
        <v>1.4583333333333282E-2</v>
      </c>
      <c r="L480" s="43">
        <v>21</v>
      </c>
      <c r="M480" s="25" t="s">
        <v>0</v>
      </c>
      <c r="N480" s="28"/>
      <c r="O480" s="28" t="s">
        <v>41</v>
      </c>
      <c r="P480" s="25" t="s">
        <v>20</v>
      </c>
    </row>
    <row r="481" spans="1:17" x14ac:dyDescent="0.25">
      <c r="A481" s="23">
        <f t="shared" si="28"/>
        <v>480</v>
      </c>
      <c r="B481" s="24">
        <v>43077</v>
      </c>
      <c r="C481" s="18" t="str">
        <f t="shared" si="29"/>
        <v>Friday</v>
      </c>
      <c r="D481" s="10" t="str">
        <f t="shared" si="30"/>
        <v>Same</v>
      </c>
      <c r="E481" s="2">
        <v>26.52</v>
      </c>
      <c r="F481" s="2">
        <v>23.48</v>
      </c>
      <c r="G481" s="1">
        <f t="shared" si="31"/>
        <v>0.88536953242835603</v>
      </c>
      <c r="H481" s="2">
        <v>1.5</v>
      </c>
      <c r="I481" s="26">
        <v>0.90486111111111101</v>
      </c>
      <c r="J481" s="26">
        <v>0.91805555555555562</v>
      </c>
      <c r="K481" s="27">
        <f>Table3[[#This Row],[Delivery Time]]-Table3[[#This Row],[Order Time]]</f>
        <v>1.319444444444462E-2</v>
      </c>
      <c r="L481" s="43">
        <v>19</v>
      </c>
      <c r="M481" s="25" t="s">
        <v>0</v>
      </c>
      <c r="N481" s="28"/>
      <c r="O481" s="28" t="s">
        <v>39</v>
      </c>
      <c r="P481" s="25" t="s">
        <v>20</v>
      </c>
    </row>
    <row r="482" spans="1:17" x14ac:dyDescent="0.25">
      <c r="A482" s="23">
        <f t="shared" si="28"/>
        <v>481</v>
      </c>
      <c r="B482" s="24">
        <v>43078</v>
      </c>
      <c r="C482" s="18" t="str">
        <f t="shared" si="29"/>
        <v>Saturday</v>
      </c>
      <c r="D482" s="10" t="str">
        <f t="shared" si="30"/>
        <v>Different</v>
      </c>
      <c r="E482" s="2">
        <v>16.18</v>
      </c>
      <c r="F482" s="2">
        <v>2</v>
      </c>
      <c r="G482" s="1">
        <f t="shared" si="31"/>
        <v>0.12360939431396786</v>
      </c>
      <c r="H482" s="2">
        <v>1.5</v>
      </c>
      <c r="I482" s="26">
        <v>0.73611111111111116</v>
      </c>
      <c r="J482" s="26">
        <v>0.73611111111111116</v>
      </c>
      <c r="K482" s="27">
        <f>Table3[[#This Row],[Delivery Time]]-Table3[[#This Row],[Order Time]]</f>
        <v>0</v>
      </c>
      <c r="L482" s="43">
        <v>0</v>
      </c>
      <c r="M482" s="25" t="s">
        <v>0</v>
      </c>
      <c r="N482" s="28"/>
      <c r="O482" s="28" t="s">
        <v>39</v>
      </c>
      <c r="P482" s="25" t="s">
        <v>16</v>
      </c>
    </row>
    <row r="483" spans="1:17" x14ac:dyDescent="0.25">
      <c r="A483" s="23">
        <f t="shared" si="28"/>
        <v>482</v>
      </c>
      <c r="B483" s="24">
        <v>43078</v>
      </c>
      <c r="C483" s="18" t="str">
        <f t="shared" si="29"/>
        <v>Saturday</v>
      </c>
      <c r="D483" s="10" t="str">
        <f t="shared" si="30"/>
        <v>Same</v>
      </c>
      <c r="E483" s="2">
        <v>26.74</v>
      </c>
      <c r="F483" s="2">
        <v>0</v>
      </c>
      <c r="G483" s="1">
        <f t="shared" si="31"/>
        <v>0</v>
      </c>
      <c r="H483" s="2">
        <v>1.5</v>
      </c>
      <c r="I483" s="26">
        <v>0.73541666666666661</v>
      </c>
      <c r="J483" s="26">
        <v>0.7895833333333333</v>
      </c>
      <c r="K483" s="27">
        <f>Table3[[#This Row],[Delivery Time]]-Table3[[#This Row],[Order Time]]</f>
        <v>5.4166666666666696E-2</v>
      </c>
      <c r="L483" s="43">
        <v>78</v>
      </c>
      <c r="M483" s="25" t="s">
        <v>0</v>
      </c>
      <c r="N483" s="28"/>
      <c r="O483" s="28" t="s">
        <v>39</v>
      </c>
      <c r="P483" s="25" t="s">
        <v>20</v>
      </c>
    </row>
    <row r="484" spans="1:17" x14ac:dyDescent="0.25">
      <c r="A484" s="23">
        <f t="shared" si="28"/>
        <v>483</v>
      </c>
      <c r="B484" s="24">
        <v>43078</v>
      </c>
      <c r="C484" s="18" t="str">
        <f t="shared" si="29"/>
        <v>Saturday</v>
      </c>
      <c r="D484" s="10" t="str">
        <f t="shared" si="30"/>
        <v>Same</v>
      </c>
      <c r="E484" s="2">
        <v>48.7</v>
      </c>
      <c r="F484" s="2">
        <v>3</v>
      </c>
      <c r="G484" s="1">
        <f t="shared" si="31"/>
        <v>6.1601642710472276E-2</v>
      </c>
      <c r="H484" s="2">
        <v>1.5</v>
      </c>
      <c r="I484" s="26">
        <v>0.7368055555555556</v>
      </c>
      <c r="J484" s="26">
        <v>0.77361111111111114</v>
      </c>
      <c r="K484" s="27">
        <f>Table3[[#This Row],[Delivery Time]]-Table3[[#This Row],[Order Time]]</f>
        <v>3.6805555555555536E-2</v>
      </c>
      <c r="L484" s="43">
        <v>53</v>
      </c>
      <c r="M484" s="25" t="s">
        <v>0</v>
      </c>
      <c r="N484" s="28"/>
      <c r="O484" s="28" t="s">
        <v>39</v>
      </c>
      <c r="P484" s="25" t="s">
        <v>20</v>
      </c>
    </row>
    <row r="485" spans="1:17" x14ac:dyDescent="0.25">
      <c r="A485" s="23">
        <f t="shared" si="28"/>
        <v>484</v>
      </c>
      <c r="B485" s="24">
        <v>43078</v>
      </c>
      <c r="C485" s="18" t="str">
        <f t="shared" si="29"/>
        <v>Saturday</v>
      </c>
      <c r="D485" s="10" t="str">
        <f t="shared" si="30"/>
        <v>Same</v>
      </c>
      <c r="E485" s="2">
        <v>36.26</v>
      </c>
      <c r="F485" s="2">
        <v>5</v>
      </c>
      <c r="G485" s="1">
        <f t="shared" si="31"/>
        <v>0.13789299503585217</v>
      </c>
      <c r="H485" s="2">
        <v>5</v>
      </c>
      <c r="I485" s="26">
        <v>0.7319444444444444</v>
      </c>
      <c r="J485" s="26">
        <v>0.78055555555555556</v>
      </c>
      <c r="K485" s="27">
        <f>Table3[[#This Row],[Delivery Time]]-Table3[[#This Row],[Order Time]]</f>
        <v>4.861111111111116E-2</v>
      </c>
      <c r="L485" s="43">
        <v>70</v>
      </c>
      <c r="M485" s="25" t="s">
        <v>12</v>
      </c>
      <c r="N485" s="28"/>
      <c r="O485" s="28" t="s">
        <v>39</v>
      </c>
      <c r="P485" s="25" t="s">
        <v>20</v>
      </c>
    </row>
    <row r="486" spans="1:17" x14ac:dyDescent="0.25">
      <c r="A486" s="23">
        <f t="shared" si="28"/>
        <v>485</v>
      </c>
      <c r="B486" s="24">
        <v>43078</v>
      </c>
      <c r="C486" s="18" t="str">
        <f t="shared" si="29"/>
        <v>Saturday</v>
      </c>
      <c r="D486" s="10" t="str">
        <f t="shared" si="30"/>
        <v>Same</v>
      </c>
      <c r="E486" s="2">
        <v>20.239999999999998</v>
      </c>
      <c r="F486" s="2">
        <v>4</v>
      </c>
      <c r="G486" s="1">
        <f t="shared" si="31"/>
        <v>0.19762845849802374</v>
      </c>
      <c r="H486" s="2">
        <v>1.5</v>
      </c>
      <c r="I486" s="26">
        <v>0.77986111111111101</v>
      </c>
      <c r="J486" s="26">
        <v>0.81388888888888899</v>
      </c>
      <c r="K486" s="27">
        <f>Table3[[#This Row],[Delivery Time]]-Table3[[#This Row],[Order Time]]</f>
        <v>3.402777777777799E-2</v>
      </c>
      <c r="L486" s="43">
        <v>49</v>
      </c>
      <c r="M486" s="25" t="s">
        <v>11</v>
      </c>
      <c r="N486" s="28"/>
      <c r="O486" s="28" t="s">
        <v>39</v>
      </c>
      <c r="P486" s="25" t="s">
        <v>20</v>
      </c>
    </row>
    <row r="487" spans="1:17" x14ac:dyDescent="0.25">
      <c r="A487" s="23">
        <f t="shared" si="28"/>
        <v>486</v>
      </c>
      <c r="B487" s="24">
        <v>43078</v>
      </c>
      <c r="C487" s="18" t="str">
        <f t="shared" si="29"/>
        <v>Saturday</v>
      </c>
      <c r="D487" s="10" t="str">
        <f t="shared" si="30"/>
        <v>Same</v>
      </c>
      <c r="E487" s="2">
        <v>21.87</v>
      </c>
      <c r="F487" s="2">
        <v>12</v>
      </c>
      <c r="G487" s="1">
        <f t="shared" si="31"/>
        <v>0.54869684499314131</v>
      </c>
      <c r="H487" s="2">
        <v>1.5</v>
      </c>
      <c r="I487" s="26">
        <v>0.81319444444444444</v>
      </c>
      <c r="J487" s="26">
        <v>0.83888888888888891</v>
      </c>
      <c r="K487" s="27">
        <f>Table3[[#This Row],[Delivery Time]]-Table3[[#This Row],[Order Time]]</f>
        <v>2.5694444444444464E-2</v>
      </c>
      <c r="L487" s="43">
        <v>37</v>
      </c>
      <c r="M487" s="25" t="s">
        <v>0</v>
      </c>
      <c r="N487" s="28" t="s">
        <v>22</v>
      </c>
      <c r="O487" s="28" t="s">
        <v>39</v>
      </c>
      <c r="P487" s="25" t="s">
        <v>20</v>
      </c>
      <c r="Q487" s="39"/>
    </row>
    <row r="488" spans="1:17" x14ac:dyDescent="0.25">
      <c r="A488" s="23">
        <f t="shared" si="28"/>
        <v>487</v>
      </c>
      <c r="B488" s="24">
        <v>43078</v>
      </c>
      <c r="C488" s="18" t="str">
        <f t="shared" si="29"/>
        <v>Saturday</v>
      </c>
      <c r="D488" s="10" t="str">
        <f t="shared" si="30"/>
        <v>Same</v>
      </c>
      <c r="E488" s="2">
        <v>63.27</v>
      </c>
      <c r="F488" s="2">
        <v>10</v>
      </c>
      <c r="G488" s="1">
        <f t="shared" si="31"/>
        <v>0.158052789631737</v>
      </c>
      <c r="H488" s="2">
        <v>5</v>
      </c>
      <c r="I488" s="26">
        <v>0.82291666666666663</v>
      </c>
      <c r="J488" s="26">
        <v>0.8520833333333333</v>
      </c>
      <c r="K488" s="27">
        <f>Table3[[#This Row],[Delivery Time]]-Table3[[#This Row],[Order Time]]</f>
        <v>2.9166666666666674E-2</v>
      </c>
      <c r="L488" s="43">
        <v>42</v>
      </c>
      <c r="M488" s="25" t="s">
        <v>0</v>
      </c>
      <c r="N488" s="28"/>
      <c r="O488" s="28" t="s">
        <v>39</v>
      </c>
      <c r="P488" s="25" t="s">
        <v>20</v>
      </c>
      <c r="Q488" s="39"/>
    </row>
    <row r="489" spans="1:17" x14ac:dyDescent="0.25">
      <c r="A489" s="23">
        <f t="shared" si="28"/>
        <v>488</v>
      </c>
      <c r="B489" s="24">
        <v>43079</v>
      </c>
      <c r="C489" s="18" t="str">
        <f t="shared" si="29"/>
        <v>Sunday</v>
      </c>
      <c r="D489" s="10" t="str">
        <f t="shared" si="30"/>
        <v>Different</v>
      </c>
      <c r="E489" s="2">
        <v>25.11</v>
      </c>
      <c r="F489" s="2">
        <v>6</v>
      </c>
      <c r="G489" s="1">
        <f t="shared" si="31"/>
        <v>0.23894862604540024</v>
      </c>
      <c r="H489" s="2">
        <v>1.5</v>
      </c>
      <c r="I489" s="26">
        <v>0.69513888888888886</v>
      </c>
      <c r="J489" s="26">
        <v>0.71458333333333324</v>
      </c>
      <c r="K489" s="27">
        <f>Table3[[#This Row],[Delivery Time]]-Table3[[#This Row],[Order Time]]</f>
        <v>1.9444444444444375E-2</v>
      </c>
      <c r="L489" s="43">
        <v>28</v>
      </c>
      <c r="M489" s="25" t="s">
        <v>0</v>
      </c>
      <c r="N489" s="28"/>
      <c r="O489" s="28" t="s">
        <v>39</v>
      </c>
      <c r="P489" s="25" t="s">
        <v>20</v>
      </c>
    </row>
    <row r="490" spans="1:17" x14ac:dyDescent="0.25">
      <c r="A490" s="23">
        <f t="shared" si="28"/>
        <v>489</v>
      </c>
      <c r="B490" s="24">
        <v>43079</v>
      </c>
      <c r="C490" s="18" t="str">
        <f t="shared" si="29"/>
        <v>Sunday</v>
      </c>
      <c r="D490" s="10" t="str">
        <f t="shared" si="30"/>
        <v>Same</v>
      </c>
      <c r="E490" s="2">
        <v>32.58</v>
      </c>
      <c r="F490" s="2">
        <v>5</v>
      </c>
      <c r="G490" s="1">
        <f t="shared" si="31"/>
        <v>0.1534683855125844</v>
      </c>
      <c r="H490" s="2">
        <v>1.5</v>
      </c>
      <c r="I490" s="26">
        <v>0.6972222222222223</v>
      </c>
      <c r="J490" s="26">
        <v>0.72638888888888886</v>
      </c>
      <c r="K490" s="27">
        <f>Table3[[#This Row],[Delivery Time]]-Table3[[#This Row],[Order Time]]</f>
        <v>2.9166666666666563E-2</v>
      </c>
      <c r="L490" s="43">
        <v>42</v>
      </c>
      <c r="M490" s="25" t="s">
        <v>12</v>
      </c>
      <c r="N490" s="28"/>
      <c r="O490" s="28" t="s">
        <v>39</v>
      </c>
      <c r="P490" s="25" t="s">
        <v>20</v>
      </c>
    </row>
    <row r="491" spans="1:17" x14ac:dyDescent="0.25">
      <c r="A491" s="23">
        <f t="shared" si="28"/>
        <v>490</v>
      </c>
      <c r="B491" s="24">
        <v>43079</v>
      </c>
      <c r="C491" s="18" t="str">
        <f t="shared" si="29"/>
        <v>Sunday</v>
      </c>
      <c r="D491" s="10" t="str">
        <f t="shared" si="30"/>
        <v>Same</v>
      </c>
      <c r="E491" s="2">
        <v>21.33</v>
      </c>
      <c r="F491" s="2">
        <v>4</v>
      </c>
      <c r="G491" s="1">
        <f t="shared" si="31"/>
        <v>0.18752930145335209</v>
      </c>
      <c r="H491" s="2">
        <v>1.5</v>
      </c>
      <c r="I491" s="26">
        <v>0.73611111111111116</v>
      </c>
      <c r="J491" s="26">
        <v>0.75416666666666676</v>
      </c>
      <c r="K491" s="27">
        <f>Table3[[#This Row],[Delivery Time]]-Table3[[#This Row],[Order Time]]</f>
        <v>1.8055555555555602E-2</v>
      </c>
      <c r="L491" s="43">
        <v>26</v>
      </c>
      <c r="M491" s="25" t="s">
        <v>11</v>
      </c>
      <c r="N491" s="28"/>
      <c r="O491" s="28" t="s">
        <v>39</v>
      </c>
      <c r="P491" s="25" t="s">
        <v>20</v>
      </c>
    </row>
    <row r="492" spans="1:17" x14ac:dyDescent="0.25">
      <c r="A492" s="23">
        <f t="shared" si="28"/>
        <v>491</v>
      </c>
      <c r="B492" s="24">
        <v>43079</v>
      </c>
      <c r="C492" s="18" t="str">
        <f t="shared" si="29"/>
        <v>Sunday</v>
      </c>
      <c r="D492" s="10" t="str">
        <f t="shared" si="30"/>
        <v>Same</v>
      </c>
      <c r="E492" s="2">
        <v>53.2</v>
      </c>
      <c r="F492" s="2">
        <v>10</v>
      </c>
      <c r="G492" s="1">
        <f t="shared" si="31"/>
        <v>0.18796992481203006</v>
      </c>
      <c r="H492" s="2">
        <v>1.5</v>
      </c>
      <c r="I492" s="26">
        <v>0.76041666666666663</v>
      </c>
      <c r="J492" s="26">
        <v>0.77916666666666667</v>
      </c>
      <c r="K492" s="27">
        <f>Table3[[#This Row],[Delivery Time]]-Table3[[#This Row],[Order Time]]</f>
        <v>1.8750000000000044E-2</v>
      </c>
      <c r="L492" s="43">
        <v>26.999999999999996</v>
      </c>
      <c r="M492" s="25" t="s">
        <v>0</v>
      </c>
      <c r="N492" s="28"/>
      <c r="O492" s="28" t="s">
        <v>39</v>
      </c>
      <c r="P492" s="25" t="s">
        <v>20</v>
      </c>
    </row>
    <row r="493" spans="1:17" x14ac:dyDescent="0.25">
      <c r="A493" s="23">
        <f t="shared" si="28"/>
        <v>492</v>
      </c>
      <c r="B493" s="24">
        <v>43079</v>
      </c>
      <c r="C493" s="18" t="str">
        <f t="shared" si="29"/>
        <v>Sunday</v>
      </c>
      <c r="D493" s="10" t="str">
        <f t="shared" si="30"/>
        <v>Same</v>
      </c>
      <c r="E493" s="2">
        <v>30.58</v>
      </c>
      <c r="F493" s="2">
        <v>19.420000000000002</v>
      </c>
      <c r="G493" s="1">
        <f t="shared" si="31"/>
        <v>0.63505559189012439</v>
      </c>
      <c r="H493" s="2">
        <v>1.5</v>
      </c>
      <c r="I493" s="26">
        <v>0.7895833333333333</v>
      </c>
      <c r="J493" s="26">
        <v>0.79999999999999993</v>
      </c>
      <c r="K493" s="27">
        <f>Table3[[#This Row],[Delivery Time]]-Table3[[#This Row],[Order Time]]</f>
        <v>1.041666666666663E-2</v>
      </c>
      <c r="L493" s="43">
        <v>15</v>
      </c>
      <c r="M493" s="25" t="s">
        <v>0</v>
      </c>
      <c r="N493" s="28"/>
      <c r="O493" s="28" t="s">
        <v>39</v>
      </c>
      <c r="P493" s="25" t="s">
        <v>20</v>
      </c>
    </row>
    <row r="494" spans="1:17" x14ac:dyDescent="0.25">
      <c r="A494" s="23">
        <f t="shared" si="28"/>
        <v>493</v>
      </c>
      <c r="B494" s="24">
        <v>43079</v>
      </c>
      <c r="C494" s="18" t="str">
        <f t="shared" si="29"/>
        <v>Sunday</v>
      </c>
      <c r="D494" s="10" t="str">
        <f t="shared" si="30"/>
        <v>Same</v>
      </c>
      <c r="E494" s="2">
        <v>44.06</v>
      </c>
      <c r="F494" s="2">
        <v>5</v>
      </c>
      <c r="G494" s="1">
        <f t="shared" si="31"/>
        <v>0.11348161597821152</v>
      </c>
      <c r="H494" s="2">
        <v>5</v>
      </c>
      <c r="I494" s="26">
        <v>0.79999999999999993</v>
      </c>
      <c r="J494" s="26">
        <v>0.82777777777777783</v>
      </c>
      <c r="K494" s="27">
        <f>Table3[[#This Row],[Delivery Time]]-Table3[[#This Row],[Order Time]]</f>
        <v>2.7777777777777901E-2</v>
      </c>
      <c r="L494" s="43">
        <v>40</v>
      </c>
      <c r="M494" s="25" t="s">
        <v>12</v>
      </c>
      <c r="N494" s="28"/>
      <c r="O494" s="28" t="s">
        <v>39</v>
      </c>
      <c r="P494" s="25" t="s">
        <v>20</v>
      </c>
    </row>
    <row r="495" spans="1:17" x14ac:dyDescent="0.25">
      <c r="A495" s="23">
        <f t="shared" si="28"/>
        <v>494</v>
      </c>
      <c r="B495" s="24">
        <v>43079</v>
      </c>
      <c r="C495" s="18" t="str">
        <f t="shared" si="29"/>
        <v>Sunday</v>
      </c>
      <c r="D495" s="10" t="str">
        <f t="shared" si="30"/>
        <v>Same</v>
      </c>
      <c r="E495" s="2">
        <v>54.56</v>
      </c>
      <c r="F495" s="2">
        <v>5</v>
      </c>
      <c r="G495" s="1">
        <f t="shared" si="31"/>
        <v>9.1642228739002934E-2</v>
      </c>
      <c r="H495" s="2">
        <v>5</v>
      </c>
      <c r="I495" s="26">
        <v>0.80763888888888891</v>
      </c>
      <c r="J495" s="26">
        <v>0.8340277777777777</v>
      </c>
      <c r="K495" s="27">
        <f>Table3[[#This Row],[Delivery Time]]-Table3[[#This Row],[Order Time]]</f>
        <v>2.6388888888888795E-2</v>
      </c>
      <c r="L495" s="43">
        <v>38</v>
      </c>
      <c r="M495" s="25" t="s">
        <v>0</v>
      </c>
      <c r="N495" s="28"/>
      <c r="O495" s="28" t="s">
        <v>39</v>
      </c>
      <c r="P495" s="25" t="s">
        <v>20</v>
      </c>
    </row>
    <row r="496" spans="1:17" x14ac:dyDescent="0.25">
      <c r="A496" s="23">
        <f t="shared" si="28"/>
        <v>495</v>
      </c>
      <c r="B496" s="24">
        <v>43079</v>
      </c>
      <c r="C496" s="18" t="str">
        <f t="shared" si="29"/>
        <v>Sunday</v>
      </c>
      <c r="D496" s="10" t="str">
        <f t="shared" si="30"/>
        <v>Same</v>
      </c>
      <c r="E496" s="2">
        <v>22.41</v>
      </c>
      <c r="F496" s="2">
        <v>5</v>
      </c>
      <c r="G496" s="1">
        <f t="shared" si="31"/>
        <v>0.22311468094600626</v>
      </c>
      <c r="H496" s="2">
        <v>1.5</v>
      </c>
      <c r="I496" s="26">
        <v>0.86875000000000002</v>
      </c>
      <c r="J496" s="26">
        <v>0.8833333333333333</v>
      </c>
      <c r="K496" s="27">
        <f>Table3[[#This Row],[Delivery Time]]-Table3[[#This Row],[Order Time]]</f>
        <v>1.4583333333333282E-2</v>
      </c>
      <c r="L496" s="43">
        <v>21</v>
      </c>
      <c r="M496" s="25" t="s">
        <v>11</v>
      </c>
      <c r="N496" s="28"/>
      <c r="O496" s="28" t="s">
        <v>39</v>
      </c>
      <c r="P496" s="25" t="s">
        <v>20</v>
      </c>
    </row>
    <row r="497" spans="1:16" x14ac:dyDescent="0.25">
      <c r="A497" s="23">
        <f t="shared" si="28"/>
        <v>496</v>
      </c>
      <c r="B497" s="24">
        <v>43084</v>
      </c>
      <c r="C497" s="18" t="str">
        <f t="shared" si="29"/>
        <v>Friday</v>
      </c>
      <c r="D497" s="10" t="str">
        <f t="shared" si="30"/>
        <v>Different</v>
      </c>
      <c r="E497" s="2">
        <v>51.69</v>
      </c>
      <c r="F497" s="2">
        <v>8.31</v>
      </c>
      <c r="G497" s="1">
        <f t="shared" si="31"/>
        <v>0.16076610562971563</v>
      </c>
      <c r="H497" s="2">
        <v>7</v>
      </c>
      <c r="I497" s="26">
        <v>0.68263888888888891</v>
      </c>
      <c r="J497" s="26">
        <v>0.71736111111111101</v>
      </c>
      <c r="K497" s="27">
        <f>Table3[[#This Row],[Delivery Time]]-Table3[[#This Row],[Order Time]]</f>
        <v>3.4722222222222099E-2</v>
      </c>
      <c r="L497" s="43">
        <v>50</v>
      </c>
      <c r="M497" s="25" t="s">
        <v>12</v>
      </c>
      <c r="N497" s="28"/>
      <c r="O497" s="28" t="s">
        <v>39</v>
      </c>
      <c r="P497" s="25" t="s">
        <v>20</v>
      </c>
    </row>
    <row r="498" spans="1:16" x14ac:dyDescent="0.25">
      <c r="A498" s="23">
        <f t="shared" si="28"/>
        <v>497</v>
      </c>
      <c r="B498" s="24">
        <v>43084</v>
      </c>
      <c r="C498" s="18" t="str">
        <f t="shared" si="29"/>
        <v>Friday</v>
      </c>
      <c r="D498" s="10" t="str">
        <f t="shared" si="30"/>
        <v>Same</v>
      </c>
      <c r="E498" s="2">
        <v>15.7</v>
      </c>
      <c r="F498" s="2">
        <v>0</v>
      </c>
      <c r="G498" s="1">
        <f t="shared" si="31"/>
        <v>0</v>
      </c>
      <c r="H498" s="2">
        <v>1.5</v>
      </c>
      <c r="I498" s="26">
        <v>0.72916666666666663</v>
      </c>
      <c r="J498" s="26">
        <v>0.75138888888888899</v>
      </c>
      <c r="K498" s="27">
        <f>Table3[[#This Row],[Delivery Time]]-Table3[[#This Row],[Order Time]]</f>
        <v>2.2222222222222365E-2</v>
      </c>
      <c r="L498" s="43">
        <v>32</v>
      </c>
      <c r="M498" s="25" t="s">
        <v>0</v>
      </c>
      <c r="N498" s="28" t="s">
        <v>26</v>
      </c>
      <c r="O498" s="28" t="s">
        <v>39</v>
      </c>
      <c r="P498" s="25" t="s">
        <v>20</v>
      </c>
    </row>
    <row r="499" spans="1:16" x14ac:dyDescent="0.25">
      <c r="A499" s="23">
        <f t="shared" si="28"/>
        <v>498</v>
      </c>
      <c r="B499" s="24">
        <v>43084</v>
      </c>
      <c r="C499" s="18" t="str">
        <f t="shared" si="29"/>
        <v>Friday</v>
      </c>
      <c r="D499" s="10" t="str">
        <f t="shared" si="30"/>
        <v>Same</v>
      </c>
      <c r="E499" s="2">
        <v>49.96</v>
      </c>
      <c r="F499" s="2">
        <v>3</v>
      </c>
      <c r="G499" s="1">
        <f t="shared" si="31"/>
        <v>6.0048038430744598E-2</v>
      </c>
      <c r="H499" s="2">
        <v>1.5</v>
      </c>
      <c r="I499" s="26">
        <v>0.74097222222222225</v>
      </c>
      <c r="J499" s="26">
        <v>0.77916666666666667</v>
      </c>
      <c r="K499" s="27">
        <f>Table3[[#This Row],[Delivery Time]]-Table3[[#This Row],[Order Time]]</f>
        <v>3.819444444444442E-2</v>
      </c>
      <c r="L499" s="43">
        <v>54.999999999999993</v>
      </c>
      <c r="M499" s="25" t="s">
        <v>11</v>
      </c>
      <c r="N499" s="28"/>
      <c r="O499" s="28" t="s">
        <v>39</v>
      </c>
      <c r="P499" s="25" t="s">
        <v>20</v>
      </c>
    </row>
    <row r="500" spans="1:16" x14ac:dyDescent="0.25">
      <c r="A500" s="23">
        <f t="shared" si="28"/>
        <v>499</v>
      </c>
      <c r="B500" s="24">
        <v>43084</v>
      </c>
      <c r="C500" s="18" t="str">
        <f t="shared" si="29"/>
        <v>Friday</v>
      </c>
      <c r="D500" s="10" t="str">
        <f t="shared" si="30"/>
        <v>Same</v>
      </c>
      <c r="E500" s="2">
        <v>38.369999999999997</v>
      </c>
      <c r="F500" s="2">
        <v>10</v>
      </c>
      <c r="G500" s="1">
        <f t="shared" si="31"/>
        <v>0.26062027625749284</v>
      </c>
      <c r="H500" s="2">
        <v>1.5</v>
      </c>
      <c r="I500" s="26">
        <v>0.74791666666666667</v>
      </c>
      <c r="J500" s="26">
        <v>0.78194444444444444</v>
      </c>
      <c r="K500" s="27">
        <f>Table3[[#This Row],[Delivery Time]]-Table3[[#This Row],[Order Time]]</f>
        <v>3.4027777777777768E-2</v>
      </c>
      <c r="L500" s="43">
        <v>49</v>
      </c>
      <c r="M500" s="25" t="s">
        <v>11</v>
      </c>
      <c r="N500" s="28"/>
      <c r="O500" s="28" t="s">
        <v>39</v>
      </c>
      <c r="P500" s="25" t="s">
        <v>20</v>
      </c>
    </row>
    <row r="501" spans="1:16" x14ac:dyDescent="0.25">
      <c r="A501" s="23">
        <f t="shared" si="28"/>
        <v>500</v>
      </c>
      <c r="B501" s="24">
        <v>43084</v>
      </c>
      <c r="C501" s="18" t="str">
        <f t="shared" si="29"/>
        <v>Friday</v>
      </c>
      <c r="D501" s="10" t="str">
        <f t="shared" si="30"/>
        <v>Same</v>
      </c>
      <c r="E501" s="2">
        <v>42.11</v>
      </c>
      <c r="F501" s="2">
        <v>8</v>
      </c>
      <c r="G501" s="1">
        <f t="shared" si="31"/>
        <v>0.18997862740441701</v>
      </c>
      <c r="H501" s="2">
        <v>5</v>
      </c>
      <c r="I501" s="26">
        <v>0.75763888888888886</v>
      </c>
      <c r="J501" s="26">
        <v>0.78680555555555554</v>
      </c>
      <c r="K501" s="27">
        <f>Table3[[#This Row],[Delivery Time]]-Table3[[#This Row],[Order Time]]</f>
        <v>2.9166666666666674E-2</v>
      </c>
      <c r="L501" s="43">
        <v>42</v>
      </c>
      <c r="M501" s="25" t="s">
        <v>11</v>
      </c>
      <c r="N501" s="28"/>
      <c r="O501" s="28" t="s">
        <v>39</v>
      </c>
      <c r="P501" s="25" t="s">
        <v>20</v>
      </c>
    </row>
    <row r="502" spans="1:16" x14ac:dyDescent="0.25">
      <c r="A502" s="23">
        <f t="shared" si="28"/>
        <v>501</v>
      </c>
      <c r="B502" s="24">
        <v>43084</v>
      </c>
      <c r="C502" s="18" t="str">
        <f t="shared" si="29"/>
        <v>Friday</v>
      </c>
      <c r="D502" s="10" t="str">
        <f t="shared" si="30"/>
        <v>Same</v>
      </c>
      <c r="E502" s="2">
        <v>40.270000000000003</v>
      </c>
      <c r="F502" s="2">
        <v>10</v>
      </c>
      <c r="G502" s="1">
        <f t="shared" si="31"/>
        <v>0.24832381425378691</v>
      </c>
      <c r="H502" s="2">
        <v>1.5</v>
      </c>
      <c r="I502" s="26">
        <v>0.76041666666666663</v>
      </c>
      <c r="J502" s="26">
        <v>0.79583333333333339</v>
      </c>
      <c r="K502" s="27">
        <f>Table3[[#This Row],[Delivery Time]]-Table3[[#This Row],[Order Time]]</f>
        <v>3.5416666666666763E-2</v>
      </c>
      <c r="L502" s="43">
        <v>51</v>
      </c>
      <c r="M502" s="25" t="s">
        <v>0</v>
      </c>
      <c r="N502" s="28"/>
      <c r="O502" s="28" t="s">
        <v>39</v>
      </c>
      <c r="P502" s="25" t="s">
        <v>20</v>
      </c>
    </row>
    <row r="503" spans="1:16" x14ac:dyDescent="0.25">
      <c r="A503" s="23">
        <f t="shared" si="28"/>
        <v>502</v>
      </c>
      <c r="B503" s="24">
        <v>43084</v>
      </c>
      <c r="C503" s="18" t="str">
        <f t="shared" si="29"/>
        <v>Friday</v>
      </c>
      <c r="D503" s="10" t="str">
        <f t="shared" si="30"/>
        <v>Same</v>
      </c>
      <c r="E503" s="2">
        <v>64.84</v>
      </c>
      <c r="F503" s="2">
        <v>10</v>
      </c>
      <c r="G503" s="1">
        <f t="shared" si="31"/>
        <v>0.1542257865515114</v>
      </c>
      <c r="H503" s="2">
        <v>5</v>
      </c>
      <c r="I503" s="26">
        <v>0.81944444444444453</v>
      </c>
      <c r="J503" s="26">
        <v>0.81944444444444453</v>
      </c>
      <c r="K503" s="27">
        <f>Table3[[#This Row],[Delivery Time]]-Table3[[#This Row],[Order Time]]</f>
        <v>0</v>
      </c>
      <c r="L503" s="43">
        <v>0</v>
      </c>
      <c r="M503" s="25" t="s">
        <v>0</v>
      </c>
      <c r="N503" s="28"/>
      <c r="O503" s="28" t="s">
        <v>39</v>
      </c>
      <c r="P503" s="25" t="s">
        <v>16</v>
      </c>
    </row>
    <row r="504" spans="1:16" x14ac:dyDescent="0.25">
      <c r="A504" s="23">
        <f t="shared" si="28"/>
        <v>503</v>
      </c>
      <c r="B504" s="24">
        <v>43084</v>
      </c>
      <c r="C504" s="18" t="str">
        <f t="shared" si="29"/>
        <v>Friday</v>
      </c>
      <c r="D504" s="10" t="str">
        <f t="shared" si="30"/>
        <v>Same</v>
      </c>
      <c r="E504" s="2">
        <v>31.38</v>
      </c>
      <c r="F504" s="2">
        <v>7</v>
      </c>
      <c r="G504" s="1">
        <f t="shared" si="31"/>
        <v>0.22307202039515617</v>
      </c>
      <c r="H504" s="2">
        <v>1.5</v>
      </c>
      <c r="I504" s="26">
        <v>0.79305555555555562</v>
      </c>
      <c r="J504" s="26">
        <v>0.8340277777777777</v>
      </c>
      <c r="K504" s="27">
        <f>Table3[[#This Row],[Delivery Time]]-Table3[[#This Row],[Order Time]]</f>
        <v>4.0972222222222077E-2</v>
      </c>
      <c r="L504" s="43">
        <v>59</v>
      </c>
      <c r="M504" s="25" t="s">
        <v>0</v>
      </c>
      <c r="N504" s="28"/>
      <c r="O504" s="28" t="s">
        <v>39</v>
      </c>
      <c r="P504" s="25" t="s">
        <v>20</v>
      </c>
    </row>
    <row r="505" spans="1:16" x14ac:dyDescent="0.25">
      <c r="A505" s="23">
        <f t="shared" si="28"/>
        <v>504</v>
      </c>
      <c r="B505" s="24">
        <v>43084</v>
      </c>
      <c r="C505" s="18" t="str">
        <f t="shared" si="29"/>
        <v>Friday</v>
      </c>
      <c r="D505" s="10" t="str">
        <f t="shared" si="30"/>
        <v>Same</v>
      </c>
      <c r="E505" s="2">
        <v>47.03</v>
      </c>
      <c r="F505" s="2">
        <v>8</v>
      </c>
      <c r="G505" s="1">
        <f t="shared" si="31"/>
        <v>0.17010418881564959</v>
      </c>
      <c r="H505" s="2">
        <v>1.5</v>
      </c>
      <c r="I505" s="26">
        <v>0.7944444444444444</v>
      </c>
      <c r="J505" s="26">
        <v>0.83888888888888891</v>
      </c>
      <c r="K505" s="27">
        <f>Table3[[#This Row],[Delivery Time]]-Table3[[#This Row],[Order Time]]</f>
        <v>4.4444444444444509E-2</v>
      </c>
      <c r="L505" s="43">
        <v>64</v>
      </c>
      <c r="M505" s="25" t="s">
        <v>0</v>
      </c>
      <c r="N505" s="28"/>
      <c r="O505" s="28" t="s">
        <v>39</v>
      </c>
      <c r="P505" s="25" t="s">
        <v>20</v>
      </c>
    </row>
    <row r="506" spans="1:16" x14ac:dyDescent="0.25">
      <c r="A506" s="23">
        <f t="shared" si="28"/>
        <v>505</v>
      </c>
      <c r="B506" s="24">
        <v>43084</v>
      </c>
      <c r="C506" s="18" t="str">
        <f t="shared" si="29"/>
        <v>Friday</v>
      </c>
      <c r="D506" s="10" t="str">
        <f t="shared" si="30"/>
        <v>Same</v>
      </c>
      <c r="E506" s="2">
        <v>64.290000000000006</v>
      </c>
      <c r="F506" s="2">
        <v>20</v>
      </c>
      <c r="G506" s="1">
        <f t="shared" si="31"/>
        <v>0.3110903717529942</v>
      </c>
      <c r="H506" s="2">
        <v>1.5</v>
      </c>
      <c r="I506" s="26">
        <v>0.79583333333333339</v>
      </c>
      <c r="J506" s="26">
        <v>0.84166666666666667</v>
      </c>
      <c r="K506" s="27">
        <f>Table3[[#This Row],[Delivery Time]]-Table3[[#This Row],[Order Time]]</f>
        <v>4.5833333333333282E-2</v>
      </c>
      <c r="L506" s="43">
        <v>66</v>
      </c>
      <c r="M506" s="25" t="s">
        <v>0</v>
      </c>
      <c r="N506" s="28"/>
      <c r="O506" s="28" t="s">
        <v>39</v>
      </c>
      <c r="P506" s="25" t="s">
        <v>20</v>
      </c>
    </row>
    <row r="507" spans="1:16" x14ac:dyDescent="0.25">
      <c r="A507" s="23">
        <f t="shared" si="28"/>
        <v>506</v>
      </c>
      <c r="B507" s="24">
        <v>43084</v>
      </c>
      <c r="C507" s="18" t="str">
        <f t="shared" si="29"/>
        <v>Friday</v>
      </c>
      <c r="D507" s="10" t="str">
        <f t="shared" si="30"/>
        <v>Same</v>
      </c>
      <c r="E507" s="2">
        <v>18.350000000000001</v>
      </c>
      <c r="F507" s="2">
        <v>2</v>
      </c>
      <c r="G507" s="1">
        <f t="shared" si="31"/>
        <v>0.108991825613079</v>
      </c>
      <c r="H507" s="2">
        <v>1.5</v>
      </c>
      <c r="I507" s="26">
        <v>0.83333333333333337</v>
      </c>
      <c r="J507" s="26">
        <v>0.86249999999999993</v>
      </c>
      <c r="K507" s="27">
        <f>Table3[[#This Row],[Delivery Time]]-Table3[[#This Row],[Order Time]]</f>
        <v>2.9166666666666563E-2</v>
      </c>
      <c r="L507" s="43">
        <v>42</v>
      </c>
      <c r="M507" s="25" t="s">
        <v>0</v>
      </c>
      <c r="N507" s="28"/>
      <c r="O507" s="28" t="s">
        <v>39</v>
      </c>
      <c r="P507" s="25" t="s">
        <v>20</v>
      </c>
    </row>
    <row r="508" spans="1:16" x14ac:dyDescent="0.25">
      <c r="A508" s="23">
        <f t="shared" si="28"/>
        <v>507</v>
      </c>
      <c r="B508" s="24">
        <v>43085</v>
      </c>
      <c r="C508" s="18" t="str">
        <f t="shared" si="29"/>
        <v>Saturday</v>
      </c>
      <c r="D508" s="10" t="str">
        <f t="shared" si="30"/>
        <v>Different</v>
      </c>
      <c r="E508" s="2">
        <v>25.66</v>
      </c>
      <c r="F508" s="2">
        <v>5</v>
      </c>
      <c r="G508" s="1">
        <f t="shared" si="31"/>
        <v>0.19485580670303976</v>
      </c>
      <c r="H508" s="2">
        <v>1.5</v>
      </c>
      <c r="I508" s="26">
        <v>0.70624999999999993</v>
      </c>
      <c r="J508" s="26">
        <v>0.73472222222222217</v>
      </c>
      <c r="K508" s="27">
        <f>Table3[[#This Row],[Delivery Time]]-Table3[[#This Row],[Order Time]]</f>
        <v>2.8472222222222232E-2</v>
      </c>
      <c r="L508" s="43">
        <v>41</v>
      </c>
      <c r="M508" s="25" t="s">
        <v>0</v>
      </c>
      <c r="N508" s="28"/>
      <c r="O508" s="28" t="s">
        <v>41</v>
      </c>
      <c r="P508" s="25" t="s">
        <v>20</v>
      </c>
    </row>
    <row r="509" spans="1:16" x14ac:dyDescent="0.25">
      <c r="A509" s="23">
        <f t="shared" si="28"/>
        <v>508</v>
      </c>
      <c r="B509" s="24">
        <v>43085</v>
      </c>
      <c r="C509" s="18" t="str">
        <f t="shared" si="29"/>
        <v>Saturday</v>
      </c>
      <c r="D509" s="10" t="str">
        <f t="shared" si="30"/>
        <v>Same</v>
      </c>
      <c r="E509" s="2">
        <v>42.22</v>
      </c>
      <c r="F509" s="2">
        <v>15</v>
      </c>
      <c r="G509" s="1">
        <f t="shared" si="31"/>
        <v>0.35528185693983894</v>
      </c>
      <c r="H509" s="2">
        <v>1.5</v>
      </c>
      <c r="I509" s="26">
        <v>0.71805555555555556</v>
      </c>
      <c r="J509" s="26">
        <v>0.74097222222222225</v>
      </c>
      <c r="K509" s="27">
        <f>Table3[[#This Row],[Delivery Time]]-Table3[[#This Row],[Order Time]]</f>
        <v>2.2916666666666696E-2</v>
      </c>
      <c r="L509" s="43">
        <v>33</v>
      </c>
      <c r="M509" s="25" t="s">
        <v>0</v>
      </c>
      <c r="N509" s="28"/>
      <c r="O509" s="28" t="s">
        <v>39</v>
      </c>
      <c r="P509" s="25" t="s">
        <v>20</v>
      </c>
    </row>
    <row r="510" spans="1:16" x14ac:dyDescent="0.25">
      <c r="A510" s="23">
        <f t="shared" si="28"/>
        <v>509</v>
      </c>
      <c r="B510" s="24">
        <v>43085</v>
      </c>
      <c r="C510" s="18" t="str">
        <f t="shared" si="29"/>
        <v>Saturday</v>
      </c>
      <c r="D510" s="10" t="str">
        <f t="shared" si="30"/>
        <v>Same</v>
      </c>
      <c r="E510" s="2">
        <v>43.79</v>
      </c>
      <c r="F510" s="2">
        <v>16.21</v>
      </c>
      <c r="G510" s="1">
        <f t="shared" si="31"/>
        <v>0.37017583923270153</v>
      </c>
      <c r="H510" s="2">
        <v>5</v>
      </c>
      <c r="I510" s="26">
        <v>0.71527777777777779</v>
      </c>
      <c r="J510" s="26">
        <v>0.75416666666666676</v>
      </c>
      <c r="K510" s="27">
        <f>Table3[[#This Row],[Delivery Time]]-Table3[[#This Row],[Order Time]]</f>
        <v>3.8888888888888973E-2</v>
      </c>
      <c r="L510" s="43">
        <v>56</v>
      </c>
      <c r="M510" s="25" t="s">
        <v>27</v>
      </c>
      <c r="N510" s="28"/>
      <c r="O510" s="28" t="s">
        <v>39</v>
      </c>
      <c r="P510" s="25" t="s">
        <v>20</v>
      </c>
    </row>
    <row r="511" spans="1:16" x14ac:dyDescent="0.25">
      <c r="A511" s="23">
        <f t="shared" si="28"/>
        <v>510</v>
      </c>
      <c r="B511" s="24">
        <v>43085</v>
      </c>
      <c r="C511" s="18" t="str">
        <f t="shared" si="29"/>
        <v>Saturday</v>
      </c>
      <c r="D511" s="10" t="str">
        <f t="shared" si="30"/>
        <v>Same</v>
      </c>
      <c r="E511" s="2">
        <v>67.33</v>
      </c>
      <c r="F511" s="2">
        <v>10</v>
      </c>
      <c r="G511" s="1">
        <f t="shared" si="31"/>
        <v>0.14852220406950839</v>
      </c>
      <c r="H511" s="2">
        <v>1.5</v>
      </c>
      <c r="I511" s="26">
        <v>0.74513888888888891</v>
      </c>
      <c r="J511" s="26">
        <v>0.77777777777777779</v>
      </c>
      <c r="K511" s="27">
        <f>Table3[[#This Row],[Delivery Time]]-Table3[[#This Row],[Order Time]]</f>
        <v>3.2638888888888884E-2</v>
      </c>
      <c r="L511" s="43">
        <v>47.000000000000007</v>
      </c>
      <c r="M511" s="25" t="s">
        <v>0</v>
      </c>
      <c r="N511" s="28"/>
      <c r="O511" s="28" t="s">
        <v>39</v>
      </c>
      <c r="P511" s="25" t="s">
        <v>20</v>
      </c>
    </row>
    <row r="512" spans="1:16" x14ac:dyDescent="0.25">
      <c r="A512" s="23">
        <f t="shared" si="28"/>
        <v>511</v>
      </c>
      <c r="B512" s="24">
        <v>43085</v>
      </c>
      <c r="C512" s="18" t="str">
        <f t="shared" si="29"/>
        <v>Saturday</v>
      </c>
      <c r="D512" s="10" t="str">
        <f t="shared" si="30"/>
        <v>Same</v>
      </c>
      <c r="E512" s="2">
        <v>27.55</v>
      </c>
      <c r="F512" s="2">
        <v>17.45</v>
      </c>
      <c r="G512" s="1">
        <f t="shared" si="31"/>
        <v>0.6333938294010889</v>
      </c>
      <c r="H512" s="2">
        <v>5</v>
      </c>
      <c r="I512" s="26">
        <v>0.75347222222222221</v>
      </c>
      <c r="J512" s="26">
        <v>0.78680555555555554</v>
      </c>
      <c r="K512" s="27">
        <f>Table3[[#This Row],[Delivery Time]]-Table3[[#This Row],[Order Time]]</f>
        <v>3.3333333333333326E-2</v>
      </c>
      <c r="L512" s="43">
        <v>48</v>
      </c>
      <c r="M512" s="25" t="s">
        <v>0</v>
      </c>
      <c r="N512" s="28"/>
      <c r="O512" s="28" t="s">
        <v>39</v>
      </c>
      <c r="P512" s="25" t="s">
        <v>20</v>
      </c>
    </row>
    <row r="513" spans="1:16" x14ac:dyDescent="0.25">
      <c r="A513" s="23">
        <f t="shared" si="28"/>
        <v>512</v>
      </c>
      <c r="B513" s="24">
        <v>43085</v>
      </c>
      <c r="C513" s="18" t="str">
        <f t="shared" si="29"/>
        <v>Saturday</v>
      </c>
      <c r="D513" s="10" t="str">
        <f t="shared" si="30"/>
        <v>Same</v>
      </c>
      <c r="E513" s="2">
        <v>34.04</v>
      </c>
      <c r="F513" s="2">
        <v>6</v>
      </c>
      <c r="G513" s="1">
        <f t="shared" si="31"/>
        <v>0.17626321974148063</v>
      </c>
      <c r="H513" s="2">
        <v>5</v>
      </c>
      <c r="I513" s="26">
        <v>0.75486111111111109</v>
      </c>
      <c r="J513" s="26">
        <v>0.7944444444444444</v>
      </c>
      <c r="K513" s="27">
        <f>Table3[[#This Row],[Delivery Time]]-Table3[[#This Row],[Order Time]]</f>
        <v>3.9583333333333304E-2</v>
      </c>
      <c r="L513" s="43">
        <v>57</v>
      </c>
      <c r="M513" s="25" t="s">
        <v>0</v>
      </c>
      <c r="N513" s="28"/>
      <c r="O513" s="28" t="s">
        <v>39</v>
      </c>
      <c r="P513" s="25" t="s">
        <v>20</v>
      </c>
    </row>
    <row r="514" spans="1:16" x14ac:dyDescent="0.25">
      <c r="A514" s="23">
        <f t="shared" si="28"/>
        <v>513</v>
      </c>
      <c r="B514" s="24">
        <v>43085</v>
      </c>
      <c r="C514" s="18" t="str">
        <f t="shared" si="29"/>
        <v>Saturday</v>
      </c>
      <c r="D514" s="10" t="str">
        <f t="shared" si="30"/>
        <v>Same</v>
      </c>
      <c r="E514" s="2">
        <v>47.74</v>
      </c>
      <c r="F514" s="2">
        <v>6.26</v>
      </c>
      <c r="G514" s="1">
        <f t="shared" si="31"/>
        <v>0.13112693757855048</v>
      </c>
      <c r="H514" s="2">
        <v>1.5</v>
      </c>
      <c r="I514" s="26">
        <v>0.80972222222222223</v>
      </c>
      <c r="J514" s="26">
        <v>0.82638888888888884</v>
      </c>
      <c r="K514" s="27">
        <f>Table3[[#This Row],[Delivery Time]]-Table3[[#This Row],[Order Time]]</f>
        <v>1.6666666666666607E-2</v>
      </c>
      <c r="L514" s="43">
        <v>24</v>
      </c>
      <c r="M514" s="25" t="s">
        <v>0</v>
      </c>
      <c r="N514" s="28"/>
      <c r="O514" s="28" t="s">
        <v>39</v>
      </c>
      <c r="P514" s="25" t="s">
        <v>20</v>
      </c>
    </row>
    <row r="515" spans="1:16" x14ac:dyDescent="0.25">
      <c r="A515" s="23">
        <f t="shared" si="28"/>
        <v>514</v>
      </c>
      <c r="B515" s="24">
        <v>43085</v>
      </c>
      <c r="C515" s="18" t="str">
        <f t="shared" si="29"/>
        <v>Saturday</v>
      </c>
      <c r="D515" s="10" t="str">
        <f t="shared" si="30"/>
        <v>Same</v>
      </c>
      <c r="E515" s="2">
        <v>104.95</v>
      </c>
      <c r="F515" s="2">
        <v>7</v>
      </c>
      <c r="G515" s="1">
        <f t="shared" si="31"/>
        <v>6.6698427822772743E-2</v>
      </c>
      <c r="H515" s="2">
        <v>1.5</v>
      </c>
      <c r="I515" s="26">
        <v>0.80208333333333337</v>
      </c>
      <c r="J515" s="26">
        <v>0.82916666666666661</v>
      </c>
      <c r="K515" s="27">
        <f>Table3[[#This Row],[Delivery Time]]-Table3[[#This Row],[Order Time]]</f>
        <v>2.7083333333333237E-2</v>
      </c>
      <c r="L515" s="43">
        <v>39</v>
      </c>
      <c r="M515" s="25" t="s">
        <v>0</v>
      </c>
      <c r="N515" s="28"/>
      <c r="O515" s="28" t="s">
        <v>39</v>
      </c>
      <c r="P515" s="25" t="s">
        <v>20</v>
      </c>
    </row>
    <row r="516" spans="1:16" x14ac:dyDescent="0.25">
      <c r="A516" s="23">
        <f t="shared" si="28"/>
        <v>515</v>
      </c>
      <c r="B516" s="24">
        <v>43085</v>
      </c>
      <c r="C516" s="18" t="str">
        <f t="shared" si="29"/>
        <v>Saturday</v>
      </c>
      <c r="D516" s="10" t="str">
        <f t="shared" si="30"/>
        <v>Same</v>
      </c>
      <c r="E516" s="2">
        <v>36.43</v>
      </c>
      <c r="F516" s="2">
        <v>5</v>
      </c>
      <c r="G516" s="1">
        <f t="shared" si="31"/>
        <v>0.1372495196266813</v>
      </c>
      <c r="H516" s="2">
        <v>1.5</v>
      </c>
      <c r="I516" s="26">
        <v>0.80694444444444446</v>
      </c>
      <c r="J516" s="26">
        <v>0.83611111111111114</v>
      </c>
      <c r="K516" s="27">
        <f>Table3[[#This Row],[Delivery Time]]-Table3[[#This Row],[Order Time]]</f>
        <v>2.9166666666666674E-2</v>
      </c>
      <c r="L516" s="43">
        <v>42</v>
      </c>
      <c r="M516" s="25" t="s">
        <v>0</v>
      </c>
      <c r="N516" s="28"/>
      <c r="O516" s="28" t="s">
        <v>39</v>
      </c>
      <c r="P516" s="25" t="s">
        <v>20</v>
      </c>
    </row>
    <row r="517" spans="1:16" x14ac:dyDescent="0.25">
      <c r="A517" s="23">
        <f t="shared" si="28"/>
        <v>516</v>
      </c>
      <c r="B517" s="24">
        <v>43085</v>
      </c>
      <c r="C517" s="18" t="str">
        <f t="shared" si="29"/>
        <v>Saturday</v>
      </c>
      <c r="D517" s="10" t="str">
        <f t="shared" si="30"/>
        <v>Same</v>
      </c>
      <c r="E517" s="2">
        <v>30.85</v>
      </c>
      <c r="F517" s="2">
        <v>4</v>
      </c>
      <c r="G517" s="1">
        <f t="shared" si="31"/>
        <v>0.12965964343598055</v>
      </c>
      <c r="H517" s="2">
        <v>1.5</v>
      </c>
      <c r="I517" s="26">
        <v>0.80486111111111114</v>
      </c>
      <c r="J517" s="26">
        <v>0.84236111111111101</v>
      </c>
      <c r="K517" s="27">
        <f>Table3[[#This Row],[Delivery Time]]-Table3[[#This Row],[Order Time]]</f>
        <v>3.7499999999999867E-2</v>
      </c>
      <c r="L517" s="43">
        <v>53.999999999999993</v>
      </c>
      <c r="M517" s="25" t="s">
        <v>0</v>
      </c>
      <c r="N517" s="28"/>
      <c r="O517" s="28" t="s">
        <v>41</v>
      </c>
      <c r="P517" s="25" t="s">
        <v>20</v>
      </c>
    </row>
    <row r="518" spans="1:16" x14ac:dyDescent="0.25">
      <c r="A518" s="23">
        <f t="shared" ref="A518:A581" si="32">ROW(A517)</f>
        <v>517</v>
      </c>
      <c r="B518" s="24">
        <v>43085</v>
      </c>
      <c r="C518" s="18" t="str">
        <f t="shared" ref="C518:C581" si="33">TEXT(B518,"dddd")</f>
        <v>Saturday</v>
      </c>
      <c r="D518" s="10" t="str">
        <f t="shared" ref="D518:D581" si="34">IF(B517=B518, "Same", "Different")</f>
        <v>Same</v>
      </c>
      <c r="E518" s="2">
        <v>17</v>
      </c>
      <c r="F518" s="2">
        <v>6</v>
      </c>
      <c r="G518" s="1">
        <f t="shared" ref="G518:G581" si="35">F518/E518</f>
        <v>0.35294117647058826</v>
      </c>
      <c r="H518" s="2">
        <v>1.5</v>
      </c>
      <c r="I518" s="26">
        <v>0.8041666666666667</v>
      </c>
      <c r="J518" s="26">
        <v>0.84722222222222221</v>
      </c>
      <c r="K518" s="27">
        <f>Table3[[#This Row],[Delivery Time]]-Table3[[#This Row],[Order Time]]</f>
        <v>4.3055555555555514E-2</v>
      </c>
      <c r="L518" s="43">
        <v>62.000000000000007</v>
      </c>
      <c r="M518" s="25" t="s">
        <v>0</v>
      </c>
      <c r="N518" s="28"/>
      <c r="O518" s="28" t="s">
        <v>39</v>
      </c>
      <c r="P518" s="25" t="s">
        <v>20</v>
      </c>
    </row>
    <row r="519" spans="1:16" x14ac:dyDescent="0.25">
      <c r="A519" s="23">
        <f t="shared" si="32"/>
        <v>518</v>
      </c>
      <c r="B519" s="24">
        <v>43086</v>
      </c>
      <c r="C519" s="18" t="str">
        <f t="shared" si="33"/>
        <v>Sunday</v>
      </c>
      <c r="D519" s="10" t="str">
        <f t="shared" si="34"/>
        <v>Different</v>
      </c>
      <c r="E519" s="2">
        <v>22.41</v>
      </c>
      <c r="F519" s="2">
        <v>3.59</v>
      </c>
      <c r="G519" s="1">
        <f t="shared" si="35"/>
        <v>0.16019634091923249</v>
      </c>
      <c r="H519" s="2">
        <v>1.5</v>
      </c>
      <c r="I519" s="26">
        <v>0.69097222222222221</v>
      </c>
      <c r="J519" s="26">
        <v>0.7104166666666667</v>
      </c>
      <c r="K519" s="27">
        <f>Table3[[#This Row],[Delivery Time]]-Table3[[#This Row],[Order Time]]</f>
        <v>1.9444444444444486E-2</v>
      </c>
      <c r="L519" s="43">
        <v>28</v>
      </c>
      <c r="M519" s="25" t="s">
        <v>0</v>
      </c>
      <c r="N519" s="28"/>
      <c r="O519" s="28" t="s">
        <v>39</v>
      </c>
      <c r="P519" s="25" t="s">
        <v>20</v>
      </c>
    </row>
    <row r="520" spans="1:16" x14ac:dyDescent="0.25">
      <c r="A520" s="23">
        <f t="shared" si="32"/>
        <v>519</v>
      </c>
      <c r="B520" s="24">
        <v>43086</v>
      </c>
      <c r="C520" s="18" t="str">
        <f t="shared" si="33"/>
        <v>Sunday</v>
      </c>
      <c r="D520" s="10" t="str">
        <f t="shared" si="34"/>
        <v>Same</v>
      </c>
      <c r="E520" s="2">
        <v>75.400000000000006</v>
      </c>
      <c r="F520" s="2">
        <v>20</v>
      </c>
      <c r="G520" s="1">
        <f t="shared" si="35"/>
        <v>0.2652519893899204</v>
      </c>
      <c r="H520" s="2">
        <v>5</v>
      </c>
      <c r="I520" s="26">
        <v>0.71805555555555556</v>
      </c>
      <c r="J520" s="26">
        <v>0.73749999999999993</v>
      </c>
      <c r="K520" s="27">
        <f>Table3[[#This Row],[Delivery Time]]-Table3[[#This Row],[Order Time]]</f>
        <v>1.9444444444444375E-2</v>
      </c>
      <c r="L520" s="43">
        <v>28</v>
      </c>
      <c r="M520" s="25" t="s">
        <v>11</v>
      </c>
      <c r="N520" s="28"/>
      <c r="O520" s="28" t="s">
        <v>39</v>
      </c>
      <c r="P520" s="25" t="s">
        <v>20</v>
      </c>
    </row>
    <row r="521" spans="1:16" x14ac:dyDescent="0.25">
      <c r="A521" s="23">
        <f t="shared" si="32"/>
        <v>520</v>
      </c>
      <c r="B521" s="24">
        <v>43086</v>
      </c>
      <c r="C521" s="18" t="str">
        <f t="shared" si="33"/>
        <v>Sunday</v>
      </c>
      <c r="D521" s="10" t="str">
        <f t="shared" si="34"/>
        <v>Same</v>
      </c>
      <c r="E521" s="2">
        <v>18.62</v>
      </c>
      <c r="F521" s="2">
        <v>3</v>
      </c>
      <c r="G521" s="1">
        <f t="shared" si="35"/>
        <v>0.16111707841031148</v>
      </c>
      <c r="H521" s="2">
        <v>5</v>
      </c>
      <c r="I521" s="26">
        <v>0.74305555555555547</v>
      </c>
      <c r="J521" s="26">
        <v>0.77013888888888893</v>
      </c>
      <c r="K521" s="27">
        <f>Table3[[#This Row],[Delivery Time]]-Table3[[#This Row],[Order Time]]</f>
        <v>2.7083333333333459E-2</v>
      </c>
      <c r="L521" s="43">
        <v>39</v>
      </c>
      <c r="M521" s="25" t="s">
        <v>0</v>
      </c>
      <c r="N521" s="28"/>
      <c r="O521" s="28" t="s">
        <v>39</v>
      </c>
      <c r="P521" s="25" t="s">
        <v>20</v>
      </c>
    </row>
    <row r="522" spans="1:16" x14ac:dyDescent="0.25">
      <c r="A522" s="23">
        <f t="shared" si="32"/>
        <v>521</v>
      </c>
      <c r="B522" s="24">
        <v>43086</v>
      </c>
      <c r="C522" s="18" t="str">
        <f t="shared" si="33"/>
        <v>Sunday</v>
      </c>
      <c r="D522" s="10" t="str">
        <f t="shared" si="34"/>
        <v>Same</v>
      </c>
      <c r="E522" s="2">
        <v>29.44</v>
      </c>
      <c r="F522" s="2">
        <v>4</v>
      </c>
      <c r="G522" s="1">
        <f t="shared" si="35"/>
        <v>0.1358695652173913</v>
      </c>
      <c r="H522" s="2">
        <v>5</v>
      </c>
      <c r="I522" s="26">
        <v>0.74375000000000002</v>
      </c>
      <c r="J522" s="26">
        <v>0.77916666666666667</v>
      </c>
      <c r="K522" s="27">
        <f>Table3[[#This Row],[Delivery Time]]-Table3[[#This Row],[Order Time]]</f>
        <v>3.5416666666666652E-2</v>
      </c>
      <c r="L522" s="43">
        <v>51</v>
      </c>
      <c r="M522" s="25" t="s">
        <v>0</v>
      </c>
      <c r="N522" s="28"/>
      <c r="O522" s="28" t="s">
        <v>39</v>
      </c>
      <c r="P522" s="25" t="s">
        <v>20</v>
      </c>
    </row>
    <row r="523" spans="1:16" x14ac:dyDescent="0.25">
      <c r="A523" s="23">
        <f t="shared" si="32"/>
        <v>522</v>
      </c>
      <c r="B523" s="24">
        <v>43086</v>
      </c>
      <c r="C523" s="18" t="str">
        <f t="shared" si="33"/>
        <v>Sunday</v>
      </c>
      <c r="D523" s="10" t="str">
        <f t="shared" si="34"/>
        <v>Same</v>
      </c>
      <c r="E523" s="2">
        <v>139.53</v>
      </c>
      <c r="F523" s="2">
        <v>20</v>
      </c>
      <c r="G523" s="1">
        <f t="shared" si="35"/>
        <v>0.14333835017558949</v>
      </c>
      <c r="H523" s="2">
        <v>5</v>
      </c>
      <c r="I523" s="26">
        <v>0.74722222222222223</v>
      </c>
      <c r="J523" s="26">
        <v>0.78472222222222221</v>
      </c>
      <c r="K523" s="27">
        <f>Table3[[#This Row],[Delivery Time]]-Table3[[#This Row],[Order Time]]</f>
        <v>3.7499999999999978E-2</v>
      </c>
      <c r="L523" s="43">
        <v>53.999999999999993</v>
      </c>
      <c r="M523" s="25" t="s">
        <v>0</v>
      </c>
      <c r="N523" s="28"/>
      <c r="O523" s="28" t="s">
        <v>39</v>
      </c>
      <c r="P523" s="25" t="s">
        <v>20</v>
      </c>
    </row>
    <row r="524" spans="1:16" x14ac:dyDescent="0.25">
      <c r="A524" s="23">
        <f t="shared" si="32"/>
        <v>523</v>
      </c>
      <c r="B524" s="24">
        <v>43086</v>
      </c>
      <c r="C524" s="18" t="str">
        <f t="shared" si="33"/>
        <v>Sunday</v>
      </c>
      <c r="D524" s="10" t="str">
        <f t="shared" si="34"/>
        <v>Same</v>
      </c>
      <c r="E524" s="2">
        <v>45.68</v>
      </c>
      <c r="F524" s="2">
        <v>6</v>
      </c>
      <c r="G524" s="1">
        <f t="shared" si="35"/>
        <v>0.13134851138353765</v>
      </c>
      <c r="H524" s="2">
        <v>1.5</v>
      </c>
      <c r="I524" s="26">
        <v>0.79305555555555562</v>
      </c>
      <c r="J524" s="26">
        <v>0.8222222222222223</v>
      </c>
      <c r="K524" s="27">
        <f>Table3[[#This Row],[Delivery Time]]-Table3[[#This Row],[Order Time]]</f>
        <v>2.9166666666666674E-2</v>
      </c>
      <c r="L524" s="43">
        <v>42</v>
      </c>
      <c r="M524" s="25" t="s">
        <v>0</v>
      </c>
      <c r="N524" s="28"/>
      <c r="O524" s="28" t="s">
        <v>39</v>
      </c>
      <c r="P524" s="25" t="s">
        <v>20</v>
      </c>
    </row>
    <row r="525" spans="1:16" x14ac:dyDescent="0.25">
      <c r="A525" s="23">
        <f t="shared" si="32"/>
        <v>524</v>
      </c>
      <c r="B525" s="24">
        <v>43086</v>
      </c>
      <c r="C525" s="18" t="str">
        <f t="shared" si="33"/>
        <v>Sunday</v>
      </c>
      <c r="D525" s="10" t="str">
        <f t="shared" si="34"/>
        <v>Same</v>
      </c>
      <c r="E525" s="2">
        <v>38.47</v>
      </c>
      <c r="F525" s="2">
        <v>4</v>
      </c>
      <c r="G525" s="1">
        <f t="shared" si="35"/>
        <v>0.10397712503249286</v>
      </c>
      <c r="H525" s="2">
        <v>1.5</v>
      </c>
      <c r="I525" s="26">
        <v>0.79861111111111116</v>
      </c>
      <c r="J525" s="26">
        <v>0.82916666666666661</v>
      </c>
      <c r="K525" s="27">
        <f>Table3[[#This Row],[Delivery Time]]-Table3[[#This Row],[Order Time]]</f>
        <v>3.0555555555555447E-2</v>
      </c>
      <c r="L525" s="43">
        <v>44</v>
      </c>
      <c r="M525" s="25" t="s">
        <v>0</v>
      </c>
      <c r="N525" s="28"/>
      <c r="O525" s="28" t="s">
        <v>39</v>
      </c>
      <c r="P525" s="25" t="s">
        <v>20</v>
      </c>
    </row>
    <row r="526" spans="1:16" x14ac:dyDescent="0.25">
      <c r="A526" s="23">
        <f t="shared" si="32"/>
        <v>525</v>
      </c>
      <c r="B526" s="24">
        <v>43086</v>
      </c>
      <c r="C526" s="18" t="str">
        <f t="shared" si="33"/>
        <v>Sunday</v>
      </c>
      <c r="D526" s="10" t="str">
        <f t="shared" si="34"/>
        <v>Same</v>
      </c>
      <c r="E526" s="2">
        <v>19.7</v>
      </c>
      <c r="F526" s="2">
        <v>7</v>
      </c>
      <c r="G526" s="1">
        <f t="shared" si="35"/>
        <v>0.35532994923857869</v>
      </c>
      <c r="H526" s="2">
        <v>1.5</v>
      </c>
      <c r="I526" s="26">
        <v>0.80555555555555547</v>
      </c>
      <c r="J526" s="26">
        <v>0.8354166666666667</v>
      </c>
      <c r="K526" s="27">
        <f>Table3[[#This Row],[Delivery Time]]-Table3[[#This Row],[Order Time]]</f>
        <v>2.9861111111111227E-2</v>
      </c>
      <c r="L526" s="43">
        <v>43</v>
      </c>
      <c r="M526" s="25" t="s">
        <v>0</v>
      </c>
      <c r="N526" s="28"/>
      <c r="O526" s="28" t="s">
        <v>39</v>
      </c>
      <c r="P526" s="25" t="s">
        <v>20</v>
      </c>
    </row>
    <row r="527" spans="1:16" x14ac:dyDescent="0.25">
      <c r="A527" s="23">
        <f t="shared" si="32"/>
        <v>526</v>
      </c>
      <c r="B527" s="24">
        <v>43091</v>
      </c>
      <c r="C527" s="18" t="str">
        <f t="shared" si="33"/>
        <v>Friday</v>
      </c>
      <c r="D527" s="10" t="str">
        <f t="shared" si="34"/>
        <v>Different</v>
      </c>
      <c r="E527" s="2">
        <v>44.54</v>
      </c>
      <c r="F527" s="2">
        <v>3</v>
      </c>
      <c r="G527" s="1">
        <f t="shared" si="35"/>
        <v>6.7355186349348894E-2</v>
      </c>
      <c r="H527" s="2">
        <v>1.5</v>
      </c>
      <c r="I527" s="26">
        <v>0.67638888888888893</v>
      </c>
      <c r="J527" s="26">
        <v>0.7104166666666667</v>
      </c>
      <c r="K527" s="27">
        <f>Table3[[#This Row],[Delivery Time]]-Table3[[#This Row],[Order Time]]</f>
        <v>3.4027777777777768E-2</v>
      </c>
      <c r="L527" s="43">
        <v>49</v>
      </c>
      <c r="M527" s="25" t="s">
        <v>0</v>
      </c>
      <c r="N527" s="28"/>
      <c r="O527" s="28" t="s">
        <v>39</v>
      </c>
      <c r="P527" s="25" t="s">
        <v>20</v>
      </c>
    </row>
    <row r="528" spans="1:16" x14ac:dyDescent="0.25">
      <c r="A528" s="23">
        <f t="shared" si="32"/>
        <v>527</v>
      </c>
      <c r="B528" s="24">
        <v>43091</v>
      </c>
      <c r="C528" s="18" t="str">
        <f t="shared" si="33"/>
        <v>Friday</v>
      </c>
      <c r="D528" s="10" t="str">
        <f t="shared" si="34"/>
        <v>Same</v>
      </c>
      <c r="E528" s="2">
        <v>75.290000000000006</v>
      </c>
      <c r="F528" s="2">
        <v>13</v>
      </c>
      <c r="G528" s="1">
        <f t="shared" si="35"/>
        <v>0.17266569265506707</v>
      </c>
      <c r="H528" s="2">
        <v>5</v>
      </c>
      <c r="I528" s="26">
        <v>0.69027777777777777</v>
      </c>
      <c r="J528" s="26">
        <v>0.71875</v>
      </c>
      <c r="K528" s="27">
        <f>Table3[[#This Row],[Delivery Time]]-Table3[[#This Row],[Order Time]]</f>
        <v>2.8472222222222232E-2</v>
      </c>
      <c r="L528" s="43">
        <v>41</v>
      </c>
      <c r="M528" s="25" t="s">
        <v>0</v>
      </c>
      <c r="N528" s="28"/>
      <c r="O528" s="28" t="s">
        <v>39</v>
      </c>
      <c r="P528" s="25" t="s">
        <v>20</v>
      </c>
    </row>
    <row r="529" spans="1:16" x14ac:dyDescent="0.25">
      <c r="A529" s="23">
        <f t="shared" si="32"/>
        <v>528</v>
      </c>
      <c r="B529" s="24">
        <v>43091</v>
      </c>
      <c r="C529" s="18" t="str">
        <f t="shared" si="33"/>
        <v>Friday</v>
      </c>
      <c r="D529" s="10" t="str">
        <f t="shared" si="34"/>
        <v>Same</v>
      </c>
      <c r="E529" s="2">
        <v>57.37</v>
      </c>
      <c r="F529" s="2">
        <v>20</v>
      </c>
      <c r="G529" s="1">
        <f t="shared" si="35"/>
        <v>0.34861425832316545</v>
      </c>
      <c r="H529" s="2">
        <v>7</v>
      </c>
      <c r="I529" s="26">
        <v>0.68819444444444444</v>
      </c>
      <c r="J529" s="26">
        <v>0.72569444444444453</v>
      </c>
      <c r="K529" s="27">
        <f>Table3[[#This Row],[Delivery Time]]-Table3[[#This Row],[Order Time]]</f>
        <v>3.7500000000000089E-2</v>
      </c>
      <c r="L529" s="43">
        <v>53.999999999999993</v>
      </c>
      <c r="M529" s="25" t="s">
        <v>0</v>
      </c>
      <c r="N529" s="28"/>
      <c r="O529" s="28" t="s">
        <v>39</v>
      </c>
      <c r="P529" s="25" t="s">
        <v>20</v>
      </c>
    </row>
    <row r="530" spans="1:16" x14ac:dyDescent="0.25">
      <c r="A530" s="23">
        <f t="shared" si="32"/>
        <v>529</v>
      </c>
      <c r="B530" s="24">
        <v>43091</v>
      </c>
      <c r="C530" s="18" t="str">
        <f t="shared" si="33"/>
        <v>Friday</v>
      </c>
      <c r="D530" s="10" t="str">
        <f t="shared" si="34"/>
        <v>Same</v>
      </c>
      <c r="E530" s="2">
        <v>22.41</v>
      </c>
      <c r="F530" s="2">
        <v>3</v>
      </c>
      <c r="G530" s="1">
        <f t="shared" si="35"/>
        <v>0.13386880856760375</v>
      </c>
      <c r="H530" s="2">
        <v>1.5</v>
      </c>
      <c r="I530" s="26">
        <v>0.73125000000000007</v>
      </c>
      <c r="J530" s="26">
        <v>0.7583333333333333</v>
      </c>
      <c r="K530" s="27">
        <f>Table3[[#This Row],[Delivery Time]]-Table3[[#This Row],[Order Time]]</f>
        <v>2.7083333333333237E-2</v>
      </c>
      <c r="L530" s="43">
        <v>39</v>
      </c>
      <c r="M530" s="25" t="s">
        <v>0</v>
      </c>
      <c r="N530" s="28"/>
      <c r="O530" s="28" t="s">
        <v>39</v>
      </c>
      <c r="P530" s="25" t="s">
        <v>20</v>
      </c>
    </row>
    <row r="531" spans="1:16" x14ac:dyDescent="0.25">
      <c r="A531" s="23">
        <f t="shared" si="32"/>
        <v>530</v>
      </c>
      <c r="B531" s="24">
        <v>43091</v>
      </c>
      <c r="C531" s="18" t="str">
        <f t="shared" si="33"/>
        <v>Friday</v>
      </c>
      <c r="D531" s="10" t="str">
        <f t="shared" si="34"/>
        <v>Same</v>
      </c>
      <c r="E531" s="2">
        <v>30.85</v>
      </c>
      <c r="F531" s="2">
        <v>3</v>
      </c>
      <c r="G531" s="1">
        <f t="shared" si="35"/>
        <v>9.7244732576985404E-2</v>
      </c>
      <c r="H531" s="2">
        <v>1.5</v>
      </c>
      <c r="I531" s="26">
        <v>0.76041666666666663</v>
      </c>
      <c r="J531" s="26">
        <v>0.78541666666666676</v>
      </c>
      <c r="K531" s="27">
        <f>Table3[[#This Row],[Delivery Time]]-Table3[[#This Row],[Order Time]]</f>
        <v>2.5000000000000133E-2</v>
      </c>
      <c r="L531" s="43">
        <v>36</v>
      </c>
      <c r="M531" s="25" t="s">
        <v>11</v>
      </c>
      <c r="N531" s="28"/>
      <c r="O531" s="28" t="s">
        <v>39</v>
      </c>
      <c r="P531" s="25" t="s">
        <v>20</v>
      </c>
    </row>
    <row r="532" spans="1:16" x14ac:dyDescent="0.25">
      <c r="A532" s="23">
        <f t="shared" si="32"/>
        <v>531</v>
      </c>
      <c r="B532" s="24">
        <v>43091</v>
      </c>
      <c r="C532" s="18" t="str">
        <f t="shared" si="33"/>
        <v>Friday</v>
      </c>
      <c r="D532" s="10" t="str">
        <f t="shared" si="34"/>
        <v>Same</v>
      </c>
      <c r="E532" s="2">
        <v>53.2</v>
      </c>
      <c r="F532" s="2">
        <v>10</v>
      </c>
      <c r="G532" s="1">
        <f t="shared" si="35"/>
        <v>0.18796992481203006</v>
      </c>
      <c r="H532" s="2">
        <v>1.5</v>
      </c>
      <c r="I532" s="26">
        <v>0.7631944444444444</v>
      </c>
      <c r="J532" s="26">
        <v>0.78749999999999998</v>
      </c>
      <c r="K532" s="27">
        <f>Table3[[#This Row],[Delivery Time]]-Table3[[#This Row],[Order Time]]</f>
        <v>2.430555555555558E-2</v>
      </c>
      <c r="L532" s="43">
        <v>35</v>
      </c>
      <c r="M532" s="25" t="s">
        <v>11</v>
      </c>
      <c r="N532" s="28"/>
      <c r="O532" s="28" t="s">
        <v>39</v>
      </c>
      <c r="P532" s="25" t="s">
        <v>20</v>
      </c>
    </row>
    <row r="533" spans="1:16" x14ac:dyDescent="0.25">
      <c r="A533" s="23">
        <f t="shared" si="32"/>
        <v>532</v>
      </c>
      <c r="B533" s="24">
        <v>43091</v>
      </c>
      <c r="C533" s="18" t="str">
        <f t="shared" si="33"/>
        <v>Friday</v>
      </c>
      <c r="D533" s="10" t="str">
        <f t="shared" si="34"/>
        <v>Same</v>
      </c>
      <c r="E533" s="2">
        <v>14.83</v>
      </c>
      <c r="F533" s="2">
        <v>3</v>
      </c>
      <c r="G533" s="1">
        <f t="shared" si="35"/>
        <v>0.20229265003371544</v>
      </c>
      <c r="H533" s="2">
        <v>1.5</v>
      </c>
      <c r="I533" s="26">
        <v>0.76597222222222217</v>
      </c>
      <c r="J533" s="26">
        <v>0.79513888888888884</v>
      </c>
      <c r="K533" s="27">
        <f>Table3[[#This Row],[Delivery Time]]-Table3[[#This Row],[Order Time]]</f>
        <v>2.9166666666666674E-2</v>
      </c>
      <c r="L533" s="43">
        <v>42</v>
      </c>
      <c r="M533" s="25" t="s">
        <v>12</v>
      </c>
      <c r="N533" s="28"/>
      <c r="O533" s="28" t="s">
        <v>41</v>
      </c>
      <c r="P533" s="25" t="s">
        <v>20</v>
      </c>
    </row>
    <row r="534" spans="1:16" x14ac:dyDescent="0.25">
      <c r="A534" s="23">
        <f t="shared" si="32"/>
        <v>533</v>
      </c>
      <c r="B534" s="24">
        <v>43091</v>
      </c>
      <c r="C534" s="18" t="str">
        <f t="shared" si="33"/>
        <v>Friday</v>
      </c>
      <c r="D534" s="10" t="str">
        <f t="shared" si="34"/>
        <v>Same</v>
      </c>
      <c r="E534" s="2">
        <v>143.27000000000001</v>
      </c>
      <c r="F534" s="2">
        <v>25</v>
      </c>
      <c r="G534" s="1">
        <f t="shared" si="35"/>
        <v>0.17449570740559781</v>
      </c>
      <c r="H534" s="2">
        <v>1.5</v>
      </c>
      <c r="I534" s="26">
        <v>0.82291666666666663</v>
      </c>
      <c r="J534" s="26">
        <v>0.82291666666666663</v>
      </c>
      <c r="K534" s="27">
        <f>Table3[[#This Row],[Delivery Time]]-Table3[[#This Row],[Order Time]]</f>
        <v>0</v>
      </c>
      <c r="L534" s="43">
        <v>0</v>
      </c>
      <c r="M534" s="25" t="s">
        <v>11</v>
      </c>
      <c r="N534" s="28"/>
      <c r="O534" s="28" t="s">
        <v>39</v>
      </c>
      <c r="P534" s="25" t="s">
        <v>16</v>
      </c>
    </row>
    <row r="535" spans="1:16" x14ac:dyDescent="0.25">
      <c r="A535" s="23">
        <f t="shared" si="32"/>
        <v>534</v>
      </c>
      <c r="B535" s="24">
        <v>43091</v>
      </c>
      <c r="C535" s="18" t="str">
        <f t="shared" si="33"/>
        <v>Friday</v>
      </c>
      <c r="D535" s="10" t="str">
        <f t="shared" si="34"/>
        <v>Same</v>
      </c>
      <c r="E535" s="2">
        <v>34.26</v>
      </c>
      <c r="F535" s="2">
        <v>10.74</v>
      </c>
      <c r="G535" s="1">
        <f t="shared" si="35"/>
        <v>0.31348511383537658</v>
      </c>
      <c r="H535" s="2">
        <v>1.5</v>
      </c>
      <c r="I535" s="26">
        <v>0.80486111111111114</v>
      </c>
      <c r="J535" s="26">
        <v>0.82777777777777783</v>
      </c>
      <c r="K535" s="27">
        <f>Table3[[#This Row],[Delivery Time]]-Table3[[#This Row],[Order Time]]</f>
        <v>2.2916666666666696E-2</v>
      </c>
      <c r="L535" s="43">
        <v>33</v>
      </c>
      <c r="M535" s="25" t="s">
        <v>11</v>
      </c>
      <c r="N535" s="28"/>
      <c r="O535" s="28" t="s">
        <v>39</v>
      </c>
      <c r="P535" s="25" t="s">
        <v>20</v>
      </c>
    </row>
    <row r="536" spans="1:16" x14ac:dyDescent="0.25">
      <c r="A536" s="23">
        <f t="shared" si="32"/>
        <v>535</v>
      </c>
      <c r="B536" s="24">
        <v>43091</v>
      </c>
      <c r="C536" s="18" t="str">
        <f t="shared" si="33"/>
        <v>Friday</v>
      </c>
      <c r="D536" s="10" t="str">
        <f t="shared" si="34"/>
        <v>Same</v>
      </c>
      <c r="E536" s="2">
        <v>34.32</v>
      </c>
      <c r="F536" s="2">
        <v>5</v>
      </c>
      <c r="G536" s="1">
        <f t="shared" si="35"/>
        <v>0.14568764568764569</v>
      </c>
      <c r="H536" s="2">
        <v>1.5</v>
      </c>
      <c r="I536" s="26">
        <v>0.79583333333333339</v>
      </c>
      <c r="J536" s="26">
        <v>0.83611111111111114</v>
      </c>
      <c r="K536" s="27">
        <f>Table3[[#This Row],[Delivery Time]]-Table3[[#This Row],[Order Time]]</f>
        <v>4.0277777777777746E-2</v>
      </c>
      <c r="L536" s="43">
        <v>58.000000000000007</v>
      </c>
      <c r="M536" s="25" t="s">
        <v>11</v>
      </c>
      <c r="N536" s="28"/>
      <c r="O536" s="28" t="s">
        <v>39</v>
      </c>
      <c r="P536" s="25" t="s">
        <v>20</v>
      </c>
    </row>
    <row r="537" spans="1:16" x14ac:dyDescent="0.25">
      <c r="A537" s="23">
        <f t="shared" si="32"/>
        <v>536</v>
      </c>
      <c r="B537" s="24">
        <v>43095</v>
      </c>
      <c r="C537" s="18" t="str">
        <f t="shared" si="33"/>
        <v>Tuesday</v>
      </c>
      <c r="D537" s="10" t="str">
        <f t="shared" si="34"/>
        <v>Different</v>
      </c>
      <c r="E537" s="2">
        <v>34.86</v>
      </c>
      <c r="F537" s="2">
        <v>10</v>
      </c>
      <c r="G537" s="1">
        <f t="shared" si="35"/>
        <v>0.2868617326448652</v>
      </c>
      <c r="H537" s="2">
        <v>5</v>
      </c>
      <c r="I537" s="26">
        <v>0.7416666666666667</v>
      </c>
      <c r="J537" s="26">
        <v>0.7944444444444444</v>
      </c>
      <c r="K537" s="27">
        <f>Table3[[#This Row],[Delivery Time]]-Table3[[#This Row],[Order Time]]</f>
        <v>5.2777777777777701E-2</v>
      </c>
      <c r="L537" s="43">
        <v>76</v>
      </c>
      <c r="M537" s="25" t="s">
        <v>1</v>
      </c>
      <c r="N537" s="28"/>
      <c r="O537" s="28" t="s">
        <v>39</v>
      </c>
      <c r="P537" s="25" t="s">
        <v>20</v>
      </c>
    </row>
    <row r="538" spans="1:16" x14ac:dyDescent="0.25">
      <c r="A538" s="23">
        <f t="shared" si="32"/>
        <v>537</v>
      </c>
      <c r="B538" s="24">
        <v>43095</v>
      </c>
      <c r="C538" s="18" t="str">
        <f t="shared" si="33"/>
        <v>Tuesday</v>
      </c>
      <c r="D538" s="10" t="str">
        <f t="shared" si="34"/>
        <v>Same</v>
      </c>
      <c r="E538" s="2">
        <v>37.42</v>
      </c>
      <c r="F538" s="2">
        <v>4.58</v>
      </c>
      <c r="G538" s="1">
        <f t="shared" si="35"/>
        <v>0.12239444147514697</v>
      </c>
      <c r="H538" s="2">
        <v>1.5</v>
      </c>
      <c r="I538" s="26">
        <v>0.74722222222222223</v>
      </c>
      <c r="J538" s="26">
        <v>0.80555555555555547</v>
      </c>
      <c r="K538" s="27">
        <f>Table3[[#This Row],[Delivery Time]]-Table3[[#This Row],[Order Time]]</f>
        <v>5.8333333333333237E-2</v>
      </c>
      <c r="L538" s="43">
        <v>84</v>
      </c>
      <c r="M538" s="25" t="s">
        <v>11</v>
      </c>
      <c r="N538" s="28" t="s">
        <v>43</v>
      </c>
      <c r="O538" s="28" t="s">
        <v>39</v>
      </c>
      <c r="P538" s="25" t="s">
        <v>20</v>
      </c>
    </row>
    <row r="539" spans="1:16" x14ac:dyDescent="0.25">
      <c r="A539" s="23">
        <f t="shared" si="32"/>
        <v>538</v>
      </c>
      <c r="B539" s="24">
        <v>43095</v>
      </c>
      <c r="C539" s="18" t="str">
        <f t="shared" si="33"/>
        <v>Tuesday</v>
      </c>
      <c r="D539" s="10" t="str">
        <f t="shared" si="34"/>
        <v>Same</v>
      </c>
      <c r="E539" s="2">
        <v>56.67</v>
      </c>
      <c r="F539" s="2">
        <v>6</v>
      </c>
      <c r="G539" s="1">
        <f t="shared" si="35"/>
        <v>0.10587612493382742</v>
      </c>
      <c r="H539" s="2">
        <v>1.5</v>
      </c>
      <c r="I539" s="26">
        <v>0.79861111111111116</v>
      </c>
      <c r="J539" s="26">
        <v>0.82986111111111116</v>
      </c>
      <c r="K539" s="27">
        <f>Table3[[#This Row],[Delivery Time]]-Table3[[#This Row],[Order Time]]</f>
        <v>3.125E-2</v>
      </c>
      <c r="L539" s="43">
        <v>45</v>
      </c>
      <c r="M539" s="25" t="s">
        <v>11</v>
      </c>
      <c r="N539" s="28"/>
      <c r="O539" s="28" t="s">
        <v>39</v>
      </c>
      <c r="P539" s="25" t="s">
        <v>20</v>
      </c>
    </row>
    <row r="540" spans="1:16" x14ac:dyDescent="0.25">
      <c r="A540" s="23">
        <f t="shared" si="32"/>
        <v>539</v>
      </c>
      <c r="B540" s="24">
        <v>43095</v>
      </c>
      <c r="C540" s="18" t="str">
        <f t="shared" si="33"/>
        <v>Tuesday</v>
      </c>
      <c r="D540" s="10" t="str">
        <f t="shared" si="34"/>
        <v>Same</v>
      </c>
      <c r="E540" s="2">
        <v>35.4</v>
      </c>
      <c r="F540" s="2">
        <v>6.6</v>
      </c>
      <c r="G540" s="1">
        <f t="shared" si="35"/>
        <v>0.1864406779661017</v>
      </c>
      <c r="H540" s="2">
        <v>1.5</v>
      </c>
      <c r="I540" s="26">
        <v>0.80555555555555547</v>
      </c>
      <c r="J540" s="26">
        <v>0.83888888888888891</v>
      </c>
      <c r="K540" s="27">
        <f>Table3[[#This Row],[Delivery Time]]-Table3[[#This Row],[Order Time]]</f>
        <v>3.3333333333333437E-2</v>
      </c>
      <c r="L540" s="43">
        <v>48</v>
      </c>
      <c r="M540" s="25" t="s">
        <v>12</v>
      </c>
      <c r="N540" s="28"/>
      <c r="O540" s="28" t="s">
        <v>41</v>
      </c>
      <c r="P540" s="25" t="s">
        <v>20</v>
      </c>
    </row>
    <row r="541" spans="1:16" x14ac:dyDescent="0.25">
      <c r="A541" s="23">
        <f t="shared" si="32"/>
        <v>540</v>
      </c>
      <c r="B541" s="24">
        <v>43095</v>
      </c>
      <c r="C541" s="18" t="str">
        <f t="shared" si="33"/>
        <v>Tuesday</v>
      </c>
      <c r="D541" s="10" t="str">
        <f t="shared" si="34"/>
        <v>Same</v>
      </c>
      <c r="E541" s="2">
        <v>32.369999999999997</v>
      </c>
      <c r="F541" s="2">
        <v>7</v>
      </c>
      <c r="G541" s="1">
        <f t="shared" si="35"/>
        <v>0.21624961383997529</v>
      </c>
      <c r="H541" s="2">
        <v>1.5</v>
      </c>
      <c r="I541" s="26">
        <v>0.82500000000000007</v>
      </c>
      <c r="J541" s="26">
        <v>0.85972222222222217</v>
      </c>
      <c r="K541" s="27">
        <f>Table3[[#This Row],[Delivery Time]]-Table3[[#This Row],[Order Time]]</f>
        <v>3.4722222222222099E-2</v>
      </c>
      <c r="L541" s="43">
        <v>50</v>
      </c>
      <c r="M541" s="25" t="s">
        <v>11</v>
      </c>
      <c r="N541" s="28"/>
      <c r="O541" s="28" t="s">
        <v>41</v>
      </c>
      <c r="P541" s="25" t="s">
        <v>20</v>
      </c>
    </row>
    <row r="542" spans="1:16" x14ac:dyDescent="0.25">
      <c r="A542" s="23">
        <f t="shared" si="32"/>
        <v>541</v>
      </c>
      <c r="B542" s="24">
        <v>43095</v>
      </c>
      <c r="C542" s="18" t="str">
        <f t="shared" si="33"/>
        <v>Tuesday</v>
      </c>
      <c r="D542" s="10" t="str">
        <f t="shared" si="34"/>
        <v>Same</v>
      </c>
      <c r="E542" s="2">
        <v>31.61</v>
      </c>
      <c r="F542" s="2">
        <v>8.39</v>
      </c>
      <c r="G542" s="1">
        <f t="shared" si="35"/>
        <v>0.26542233470420756</v>
      </c>
      <c r="H542" s="2">
        <v>1.5</v>
      </c>
      <c r="I542" s="26">
        <v>0.82847222222222217</v>
      </c>
      <c r="J542" s="26">
        <v>0.86736111111111114</v>
      </c>
      <c r="K542" s="27">
        <f>Table3[[#This Row],[Delivery Time]]-Table3[[#This Row],[Order Time]]</f>
        <v>3.8888888888888973E-2</v>
      </c>
      <c r="L542" s="43">
        <v>56</v>
      </c>
      <c r="M542" s="25" t="s">
        <v>11</v>
      </c>
      <c r="N542" s="28"/>
      <c r="O542" s="28" t="s">
        <v>39</v>
      </c>
      <c r="P542" s="25" t="s">
        <v>20</v>
      </c>
    </row>
    <row r="543" spans="1:16" x14ac:dyDescent="0.25">
      <c r="A543" s="23">
        <f t="shared" si="32"/>
        <v>542</v>
      </c>
      <c r="B543" s="24">
        <v>43095</v>
      </c>
      <c r="C543" s="18" t="str">
        <f t="shared" si="33"/>
        <v>Tuesday</v>
      </c>
      <c r="D543" s="10" t="str">
        <f t="shared" si="34"/>
        <v>Same</v>
      </c>
      <c r="E543" s="2">
        <v>22.41</v>
      </c>
      <c r="F543" s="2">
        <v>3</v>
      </c>
      <c r="G543" s="1">
        <f t="shared" si="35"/>
        <v>0.13386880856760375</v>
      </c>
      <c r="H543" s="2">
        <v>1.5</v>
      </c>
      <c r="I543" s="26">
        <v>0.84583333333333333</v>
      </c>
      <c r="J543" s="26">
        <v>0.87361111111111101</v>
      </c>
      <c r="K543" s="27">
        <f>Table3[[#This Row],[Delivery Time]]-Table3[[#This Row],[Order Time]]</f>
        <v>2.7777777777777679E-2</v>
      </c>
      <c r="L543" s="43">
        <v>40</v>
      </c>
      <c r="M543" s="25" t="s">
        <v>11</v>
      </c>
      <c r="N543" s="28"/>
      <c r="O543" s="28" t="s">
        <v>39</v>
      </c>
      <c r="P543" s="25" t="s">
        <v>20</v>
      </c>
    </row>
    <row r="544" spans="1:16" x14ac:dyDescent="0.25">
      <c r="A544" s="23">
        <f t="shared" si="32"/>
        <v>543</v>
      </c>
      <c r="B544" s="24">
        <v>43095</v>
      </c>
      <c r="C544" s="18" t="str">
        <f t="shared" si="33"/>
        <v>Tuesday</v>
      </c>
      <c r="D544" s="10" t="str">
        <f t="shared" si="34"/>
        <v>Same</v>
      </c>
      <c r="E544" s="2">
        <v>30.31</v>
      </c>
      <c r="F544" s="2">
        <v>6.79</v>
      </c>
      <c r="G544" s="1">
        <f t="shared" si="35"/>
        <v>0.22401847575057737</v>
      </c>
      <c r="H544" s="2">
        <v>1.5</v>
      </c>
      <c r="I544" s="26">
        <v>0.89027777777777783</v>
      </c>
      <c r="J544" s="26">
        <v>0.90277777777777779</v>
      </c>
      <c r="K544" s="27">
        <f>Table3[[#This Row],[Delivery Time]]-Table3[[#This Row],[Order Time]]</f>
        <v>1.2499999999999956E-2</v>
      </c>
      <c r="L544" s="43">
        <v>18</v>
      </c>
      <c r="M544" s="25" t="s">
        <v>11</v>
      </c>
      <c r="N544" s="28"/>
      <c r="O544" s="28" t="s">
        <v>41</v>
      </c>
      <c r="P544" s="25" t="s">
        <v>20</v>
      </c>
    </row>
    <row r="545" spans="1:16" x14ac:dyDescent="0.25">
      <c r="A545" s="23">
        <f t="shared" si="32"/>
        <v>544</v>
      </c>
      <c r="B545" s="24">
        <v>43098</v>
      </c>
      <c r="C545" s="18" t="str">
        <f t="shared" si="33"/>
        <v>Friday</v>
      </c>
      <c r="D545" s="10" t="str">
        <f t="shared" si="34"/>
        <v>Different</v>
      </c>
      <c r="E545" s="2">
        <v>61.27</v>
      </c>
      <c r="F545" s="2">
        <v>7</v>
      </c>
      <c r="G545" s="1">
        <f t="shared" si="35"/>
        <v>0.11424840868287905</v>
      </c>
      <c r="H545" s="2">
        <v>1.5</v>
      </c>
      <c r="I545" s="26">
        <v>0.76180555555555562</v>
      </c>
      <c r="J545" s="26">
        <v>0.78472222222222221</v>
      </c>
      <c r="K545" s="27">
        <f>Table3[[#This Row],[Delivery Time]]-Table3[[#This Row],[Order Time]]</f>
        <v>2.2916666666666585E-2</v>
      </c>
      <c r="L545" s="43">
        <v>33</v>
      </c>
      <c r="M545" s="25" t="s">
        <v>0</v>
      </c>
      <c r="N545" s="28"/>
      <c r="O545" s="28" t="s">
        <v>39</v>
      </c>
      <c r="P545" s="25" t="s">
        <v>20</v>
      </c>
    </row>
    <row r="546" spans="1:16" x14ac:dyDescent="0.25">
      <c r="A546" s="23">
        <f t="shared" si="32"/>
        <v>545</v>
      </c>
      <c r="B546" s="24">
        <v>43098</v>
      </c>
      <c r="C546" s="18" t="str">
        <f t="shared" si="33"/>
        <v>Friday</v>
      </c>
      <c r="D546" s="10" t="str">
        <f t="shared" si="34"/>
        <v>Same</v>
      </c>
      <c r="E546" s="2">
        <v>28.9</v>
      </c>
      <c r="F546" s="2">
        <v>6.1</v>
      </c>
      <c r="G546" s="1">
        <f t="shared" si="35"/>
        <v>0.21107266435986158</v>
      </c>
      <c r="H546" s="2">
        <v>1.5</v>
      </c>
      <c r="I546" s="26">
        <v>0.81874999999999998</v>
      </c>
      <c r="J546" s="26">
        <v>0.83819444444444446</v>
      </c>
      <c r="K546" s="27">
        <f>Table3[[#This Row],[Delivery Time]]-Table3[[#This Row],[Order Time]]</f>
        <v>1.9444444444444486E-2</v>
      </c>
      <c r="L546" s="43">
        <v>28</v>
      </c>
      <c r="M546" s="25" t="s">
        <v>11</v>
      </c>
      <c r="N546" s="28"/>
      <c r="O546" s="28" t="s">
        <v>40</v>
      </c>
      <c r="P546" s="25" t="s">
        <v>20</v>
      </c>
    </row>
    <row r="547" spans="1:16" x14ac:dyDescent="0.25">
      <c r="A547" s="23">
        <f t="shared" si="32"/>
        <v>546</v>
      </c>
      <c r="B547" s="24">
        <v>43098</v>
      </c>
      <c r="C547" s="18" t="str">
        <f t="shared" si="33"/>
        <v>Friday</v>
      </c>
      <c r="D547" s="10" t="str">
        <f t="shared" si="34"/>
        <v>Same</v>
      </c>
      <c r="E547" s="2">
        <v>25.11</v>
      </c>
      <c r="F547" s="2">
        <v>6.89</v>
      </c>
      <c r="G547" s="1">
        <f t="shared" si="35"/>
        <v>0.27439267224213459</v>
      </c>
      <c r="H547" s="2">
        <v>1.5</v>
      </c>
      <c r="I547" s="26">
        <v>0.82291666666666663</v>
      </c>
      <c r="J547" s="26">
        <v>0.84722222222222221</v>
      </c>
      <c r="K547" s="27">
        <f>Table3[[#This Row],[Delivery Time]]-Table3[[#This Row],[Order Time]]</f>
        <v>2.430555555555558E-2</v>
      </c>
      <c r="L547" s="43">
        <v>35</v>
      </c>
      <c r="M547" s="25" t="s">
        <v>11</v>
      </c>
      <c r="N547" s="28"/>
      <c r="O547" s="28" t="s">
        <v>39</v>
      </c>
      <c r="P547" s="25" t="s">
        <v>20</v>
      </c>
    </row>
    <row r="548" spans="1:16" x14ac:dyDescent="0.25">
      <c r="A548" s="23">
        <f t="shared" si="32"/>
        <v>547</v>
      </c>
      <c r="B548" s="24">
        <v>43099</v>
      </c>
      <c r="C548" s="18" t="str">
        <f t="shared" si="33"/>
        <v>Saturday</v>
      </c>
      <c r="D548" s="10" t="str">
        <f t="shared" si="34"/>
        <v>Different</v>
      </c>
      <c r="E548" s="2">
        <v>88.55</v>
      </c>
      <c r="F548" s="2">
        <v>8</v>
      </c>
      <c r="G548" s="1">
        <f t="shared" si="35"/>
        <v>9.0344438170525135E-2</v>
      </c>
      <c r="H548" s="2">
        <v>1.5</v>
      </c>
      <c r="I548" s="26">
        <v>0.74722222222222223</v>
      </c>
      <c r="J548" s="26">
        <v>0.77013888888888893</v>
      </c>
      <c r="K548" s="27">
        <f>Table3[[#This Row],[Delivery Time]]-Table3[[#This Row],[Order Time]]</f>
        <v>2.2916666666666696E-2</v>
      </c>
      <c r="L548" s="43">
        <v>33</v>
      </c>
      <c r="M548" s="25" t="s">
        <v>12</v>
      </c>
      <c r="N548" s="28"/>
      <c r="O548" s="28" t="s">
        <v>39</v>
      </c>
      <c r="P548" s="25" t="s">
        <v>20</v>
      </c>
    </row>
    <row r="549" spans="1:16" x14ac:dyDescent="0.25">
      <c r="A549" s="23">
        <f t="shared" si="32"/>
        <v>548</v>
      </c>
      <c r="B549" s="24">
        <v>43099</v>
      </c>
      <c r="C549" s="18" t="str">
        <f t="shared" si="33"/>
        <v>Saturday</v>
      </c>
      <c r="D549" s="10" t="str">
        <f t="shared" si="34"/>
        <v>Same</v>
      </c>
      <c r="E549" s="2">
        <v>117.99</v>
      </c>
      <c r="F549" s="2">
        <v>10</v>
      </c>
      <c r="G549" s="1">
        <f t="shared" si="35"/>
        <v>8.4752945164844481E-2</v>
      </c>
      <c r="H549" s="2">
        <v>1.5</v>
      </c>
      <c r="I549" s="26">
        <v>0.78680555555555554</v>
      </c>
      <c r="J549" s="26">
        <v>0.80833333333333324</v>
      </c>
      <c r="K549" s="27">
        <f>Table3[[#This Row],[Delivery Time]]-Table3[[#This Row],[Order Time]]</f>
        <v>2.1527777777777701E-2</v>
      </c>
      <c r="L549" s="43">
        <v>31.000000000000004</v>
      </c>
      <c r="M549" s="25" t="s">
        <v>11</v>
      </c>
      <c r="N549" s="28"/>
      <c r="O549" s="28" t="s">
        <v>39</v>
      </c>
      <c r="P549" s="25" t="s">
        <v>20</v>
      </c>
    </row>
    <row r="550" spans="1:16" x14ac:dyDescent="0.25">
      <c r="A550" s="23">
        <f t="shared" si="32"/>
        <v>549</v>
      </c>
      <c r="B550" s="24">
        <v>43099</v>
      </c>
      <c r="C550" s="18" t="str">
        <f t="shared" si="33"/>
        <v>Saturday</v>
      </c>
      <c r="D550" s="10" t="str">
        <f t="shared" si="34"/>
        <v>Same</v>
      </c>
      <c r="E550" s="2">
        <v>33.229999999999997</v>
      </c>
      <c r="F550" s="2">
        <v>6</v>
      </c>
      <c r="G550" s="1">
        <f t="shared" si="35"/>
        <v>0.18055973517905508</v>
      </c>
      <c r="H550" s="2">
        <v>1.5</v>
      </c>
      <c r="I550" s="26">
        <v>0.83124999999999993</v>
      </c>
      <c r="J550" s="26">
        <v>0.8520833333333333</v>
      </c>
      <c r="K550" s="27">
        <f>Table3[[#This Row],[Delivery Time]]-Table3[[#This Row],[Order Time]]</f>
        <v>2.083333333333337E-2</v>
      </c>
      <c r="L550" s="43">
        <v>30</v>
      </c>
      <c r="M550" s="25" t="s">
        <v>0</v>
      </c>
      <c r="N550" s="28" t="s">
        <v>22</v>
      </c>
      <c r="O550" s="28" t="s">
        <v>39</v>
      </c>
      <c r="P550" s="25" t="s">
        <v>20</v>
      </c>
    </row>
    <row r="551" spans="1:16" x14ac:dyDescent="0.25">
      <c r="A551" s="23">
        <f t="shared" si="32"/>
        <v>550</v>
      </c>
      <c r="B551" s="24">
        <v>43105</v>
      </c>
      <c r="C551" s="18" t="str">
        <f t="shared" si="33"/>
        <v>Friday</v>
      </c>
      <c r="D551" s="10" t="str">
        <f t="shared" si="34"/>
        <v>Different</v>
      </c>
      <c r="E551" s="2">
        <v>6.17</v>
      </c>
      <c r="F551" s="2">
        <v>3.83</v>
      </c>
      <c r="G551" s="1">
        <f t="shared" si="35"/>
        <v>0.62074554294975692</v>
      </c>
      <c r="H551" s="2">
        <v>1.5</v>
      </c>
      <c r="I551" s="26">
        <v>0.74652777777777779</v>
      </c>
      <c r="J551" s="26">
        <v>0.76736111111111116</v>
      </c>
      <c r="K551" s="27">
        <f>Table3[[#This Row],[Delivery Time]]-Table3[[#This Row],[Order Time]]</f>
        <v>2.083333333333337E-2</v>
      </c>
      <c r="L551" s="43">
        <v>30</v>
      </c>
      <c r="M551" s="25" t="s">
        <v>0</v>
      </c>
      <c r="N551" s="28"/>
      <c r="O551" s="28" t="s">
        <v>41</v>
      </c>
      <c r="P551" s="25" t="s">
        <v>20</v>
      </c>
    </row>
    <row r="552" spans="1:16" x14ac:dyDescent="0.25">
      <c r="A552" s="23">
        <f t="shared" si="32"/>
        <v>551</v>
      </c>
      <c r="B552" s="24">
        <v>43105</v>
      </c>
      <c r="C552" s="18" t="str">
        <f t="shared" si="33"/>
        <v>Friday</v>
      </c>
      <c r="D552" s="10" t="str">
        <f t="shared" si="34"/>
        <v>Same</v>
      </c>
      <c r="E552" s="2">
        <v>15.7</v>
      </c>
      <c r="F552" s="2">
        <v>2</v>
      </c>
      <c r="G552" s="1">
        <f t="shared" si="35"/>
        <v>0.12738853503184713</v>
      </c>
      <c r="H552" s="2">
        <v>1.5</v>
      </c>
      <c r="I552" s="26">
        <v>0.7583333333333333</v>
      </c>
      <c r="J552" s="26">
        <v>0.78055555555555556</v>
      </c>
      <c r="K552" s="27">
        <f>Table3[[#This Row],[Delivery Time]]-Table3[[#This Row],[Order Time]]</f>
        <v>2.2222222222222254E-2</v>
      </c>
      <c r="L552" s="43">
        <v>32</v>
      </c>
      <c r="M552" s="25" t="s">
        <v>0</v>
      </c>
      <c r="N552" s="28"/>
      <c r="O552" s="28" t="s">
        <v>41</v>
      </c>
      <c r="P552" s="25" t="s">
        <v>20</v>
      </c>
    </row>
    <row r="553" spans="1:16" x14ac:dyDescent="0.25">
      <c r="A553" s="23">
        <f t="shared" si="32"/>
        <v>552</v>
      </c>
      <c r="B553" s="24">
        <v>43105</v>
      </c>
      <c r="C553" s="18" t="str">
        <f t="shared" si="33"/>
        <v>Friday</v>
      </c>
      <c r="D553" s="10" t="str">
        <f t="shared" si="34"/>
        <v>Same</v>
      </c>
      <c r="E553" s="2">
        <v>25.93</v>
      </c>
      <c r="F553" s="2">
        <v>4</v>
      </c>
      <c r="G553" s="1">
        <f t="shared" si="35"/>
        <v>0.15426147319706904</v>
      </c>
      <c r="H553" s="2">
        <v>1.5</v>
      </c>
      <c r="I553" s="26">
        <v>0.74791666666666667</v>
      </c>
      <c r="J553" s="26">
        <v>0.7895833333333333</v>
      </c>
      <c r="K553" s="27">
        <f>Table3[[#This Row],[Delivery Time]]-Table3[[#This Row],[Order Time]]</f>
        <v>4.166666666666663E-2</v>
      </c>
      <c r="L553" s="43">
        <v>60</v>
      </c>
      <c r="M553" s="25" t="s">
        <v>0</v>
      </c>
      <c r="N553" s="28"/>
      <c r="O553" s="28" t="s">
        <v>39</v>
      </c>
      <c r="P553" s="25" t="s">
        <v>20</v>
      </c>
    </row>
    <row r="554" spans="1:16" x14ac:dyDescent="0.25">
      <c r="A554" s="23">
        <f t="shared" si="32"/>
        <v>553</v>
      </c>
      <c r="B554" s="24">
        <v>43105</v>
      </c>
      <c r="C554" s="18" t="str">
        <f t="shared" si="33"/>
        <v>Friday</v>
      </c>
      <c r="D554" s="10" t="str">
        <f t="shared" si="34"/>
        <v>Same</v>
      </c>
      <c r="E554" s="2">
        <v>17</v>
      </c>
      <c r="F554" s="2">
        <v>4</v>
      </c>
      <c r="G554" s="1">
        <f t="shared" si="35"/>
        <v>0.23529411764705882</v>
      </c>
      <c r="H554" s="2">
        <v>1.5</v>
      </c>
      <c r="I554" s="26">
        <v>0.80208333333333337</v>
      </c>
      <c r="J554" s="26">
        <v>0.82361111111111107</v>
      </c>
      <c r="K554" s="27">
        <f>Table3[[#This Row],[Delivery Time]]-Table3[[#This Row],[Order Time]]</f>
        <v>2.1527777777777701E-2</v>
      </c>
      <c r="L554" s="43">
        <v>31.000000000000004</v>
      </c>
      <c r="M554" s="25" t="s">
        <v>0</v>
      </c>
      <c r="N554" s="28" t="s">
        <v>22</v>
      </c>
      <c r="O554" s="28" t="s">
        <v>39</v>
      </c>
      <c r="P554" s="25" t="s">
        <v>20</v>
      </c>
    </row>
    <row r="555" spans="1:16" x14ac:dyDescent="0.25">
      <c r="A555" s="23">
        <f t="shared" si="32"/>
        <v>554</v>
      </c>
      <c r="B555" s="24">
        <v>43105</v>
      </c>
      <c r="C555" s="18" t="str">
        <f t="shared" si="33"/>
        <v>Friday</v>
      </c>
      <c r="D555" s="10" t="str">
        <f t="shared" si="34"/>
        <v>Same</v>
      </c>
      <c r="E555" s="2">
        <v>27.6</v>
      </c>
      <c r="F555" s="2">
        <v>6</v>
      </c>
      <c r="G555" s="1">
        <f t="shared" si="35"/>
        <v>0.21739130434782608</v>
      </c>
      <c r="H555" s="2">
        <v>1.5</v>
      </c>
      <c r="I555" s="26">
        <v>0.80763888888888891</v>
      </c>
      <c r="J555" s="26">
        <v>0.82986111111111116</v>
      </c>
      <c r="K555" s="27">
        <f>Table3[[#This Row],[Delivery Time]]-Table3[[#This Row],[Order Time]]</f>
        <v>2.2222222222222254E-2</v>
      </c>
      <c r="L555" s="43">
        <v>32</v>
      </c>
      <c r="M555" s="25" t="s">
        <v>0</v>
      </c>
      <c r="N555" s="28"/>
      <c r="O555" s="28" t="s">
        <v>41</v>
      </c>
      <c r="P555" s="25" t="s">
        <v>20</v>
      </c>
    </row>
    <row r="556" spans="1:16" x14ac:dyDescent="0.25">
      <c r="A556" s="23">
        <f t="shared" si="32"/>
        <v>555</v>
      </c>
      <c r="B556" s="24">
        <v>43105</v>
      </c>
      <c r="C556" s="18" t="str">
        <f t="shared" si="33"/>
        <v>Friday</v>
      </c>
      <c r="D556" s="10" t="str">
        <f t="shared" si="34"/>
        <v>Same</v>
      </c>
      <c r="E556" s="2">
        <v>28.9</v>
      </c>
      <c r="F556" s="2">
        <v>5</v>
      </c>
      <c r="G556" s="1">
        <f t="shared" si="35"/>
        <v>0.17301038062283738</v>
      </c>
      <c r="H556" s="2">
        <v>1.5</v>
      </c>
      <c r="I556" s="26">
        <v>0.85</v>
      </c>
      <c r="J556" s="26">
        <v>0.86875000000000002</v>
      </c>
      <c r="K556" s="27">
        <f>Table3[[#This Row],[Delivery Time]]-Table3[[#This Row],[Order Time]]</f>
        <v>1.8750000000000044E-2</v>
      </c>
      <c r="L556" s="43">
        <v>26.999999999999996</v>
      </c>
      <c r="M556" s="25" t="s">
        <v>0</v>
      </c>
      <c r="N556" s="28" t="s">
        <v>26</v>
      </c>
      <c r="O556" s="28" t="s">
        <v>39</v>
      </c>
      <c r="P556" s="25" t="s">
        <v>20</v>
      </c>
    </row>
    <row r="557" spans="1:16" x14ac:dyDescent="0.25">
      <c r="A557" s="23">
        <f t="shared" si="32"/>
        <v>556</v>
      </c>
      <c r="B557" s="24">
        <v>43106</v>
      </c>
      <c r="C557" s="18" t="str">
        <f t="shared" si="33"/>
        <v>Saturday</v>
      </c>
      <c r="D557" s="10" t="str">
        <f t="shared" si="34"/>
        <v>Different</v>
      </c>
      <c r="E557" s="2">
        <v>20.68</v>
      </c>
      <c r="F557" s="2">
        <v>10.32</v>
      </c>
      <c r="G557" s="1">
        <f t="shared" si="35"/>
        <v>0.49903288201160545</v>
      </c>
      <c r="H557" s="2">
        <v>1.5</v>
      </c>
      <c r="I557" s="26">
        <v>0.70347222222222217</v>
      </c>
      <c r="J557" s="26">
        <v>0.72152777777777777</v>
      </c>
      <c r="K557" s="27">
        <f>Table3[[#This Row],[Delivery Time]]-Table3[[#This Row],[Order Time]]</f>
        <v>1.8055555555555602E-2</v>
      </c>
      <c r="L557" s="43">
        <v>26</v>
      </c>
      <c r="M557" s="25" t="s">
        <v>11</v>
      </c>
      <c r="N557" s="28"/>
      <c r="O557" s="28" t="s">
        <v>42</v>
      </c>
      <c r="P557" s="25" t="s">
        <v>20</v>
      </c>
    </row>
    <row r="558" spans="1:16" x14ac:dyDescent="0.25">
      <c r="A558" s="23">
        <f t="shared" si="32"/>
        <v>557</v>
      </c>
      <c r="B558" s="24">
        <v>43106</v>
      </c>
      <c r="C558" s="18" t="str">
        <f t="shared" si="33"/>
        <v>Saturday</v>
      </c>
      <c r="D558" s="10" t="str">
        <f t="shared" si="34"/>
        <v>Same</v>
      </c>
      <c r="E558" s="2">
        <v>21.05</v>
      </c>
      <c r="F558" s="2">
        <v>5.95</v>
      </c>
      <c r="G558" s="1">
        <f t="shared" si="35"/>
        <v>0.28266033254156769</v>
      </c>
      <c r="H558" s="2">
        <v>1.5</v>
      </c>
      <c r="I558" s="26">
        <v>0.73888888888888893</v>
      </c>
      <c r="J558" s="26">
        <v>0.75555555555555554</v>
      </c>
      <c r="K558" s="27">
        <f>Table3[[#This Row],[Delivery Time]]-Table3[[#This Row],[Order Time]]</f>
        <v>1.6666666666666607E-2</v>
      </c>
      <c r="L558" s="43">
        <v>24</v>
      </c>
      <c r="M558" s="25" t="s">
        <v>0</v>
      </c>
      <c r="N558" s="28"/>
      <c r="O558" s="28" t="s">
        <v>40</v>
      </c>
      <c r="P558" s="25" t="s">
        <v>20</v>
      </c>
    </row>
    <row r="559" spans="1:16" x14ac:dyDescent="0.25">
      <c r="A559" s="23">
        <f t="shared" si="32"/>
        <v>558</v>
      </c>
      <c r="B559" s="24">
        <v>43106</v>
      </c>
      <c r="C559" s="18" t="str">
        <f t="shared" si="33"/>
        <v>Saturday</v>
      </c>
      <c r="D559" s="10" t="str">
        <f t="shared" si="34"/>
        <v>Same</v>
      </c>
      <c r="E559" s="2">
        <v>40.86</v>
      </c>
      <c r="F559" s="2">
        <v>10</v>
      </c>
      <c r="G559" s="1">
        <f t="shared" si="35"/>
        <v>0.24473813020068527</v>
      </c>
      <c r="H559" s="2">
        <v>7</v>
      </c>
      <c r="I559" s="26">
        <v>0.74444444444444446</v>
      </c>
      <c r="J559" s="26">
        <v>0.76874999999999993</v>
      </c>
      <c r="K559" s="27">
        <f>Table3[[#This Row],[Delivery Time]]-Table3[[#This Row],[Order Time]]</f>
        <v>2.4305555555555469E-2</v>
      </c>
      <c r="L559" s="43">
        <v>35</v>
      </c>
      <c r="M559" s="25" t="s">
        <v>27</v>
      </c>
      <c r="N559" s="28"/>
      <c r="O559" s="28" t="s">
        <v>39</v>
      </c>
      <c r="P559" s="25" t="s">
        <v>20</v>
      </c>
    </row>
    <row r="560" spans="1:16" x14ac:dyDescent="0.25">
      <c r="A560" s="23">
        <f t="shared" si="32"/>
        <v>559</v>
      </c>
      <c r="B560" s="24">
        <v>43106</v>
      </c>
      <c r="C560" s="18" t="str">
        <f t="shared" si="33"/>
        <v>Saturday</v>
      </c>
      <c r="D560" s="10" t="str">
        <f t="shared" si="34"/>
        <v>Same</v>
      </c>
      <c r="E560" s="2">
        <v>22.73</v>
      </c>
      <c r="F560" s="2">
        <v>3</v>
      </c>
      <c r="G560" s="1">
        <f t="shared" si="35"/>
        <v>0.13198416190057194</v>
      </c>
      <c r="H560" s="2">
        <v>1.5</v>
      </c>
      <c r="I560" s="26">
        <v>0.7895833333333333</v>
      </c>
      <c r="J560" s="26">
        <v>0.82013888888888886</v>
      </c>
      <c r="K560" s="27">
        <f>Table3[[#This Row],[Delivery Time]]-Table3[[#This Row],[Order Time]]</f>
        <v>3.0555555555555558E-2</v>
      </c>
      <c r="L560" s="43">
        <v>44</v>
      </c>
      <c r="M560" s="25" t="s">
        <v>0</v>
      </c>
      <c r="N560" s="28"/>
      <c r="O560" s="28" t="s">
        <v>40</v>
      </c>
      <c r="P560" s="25" t="s">
        <v>20</v>
      </c>
    </row>
    <row r="561" spans="1:16" x14ac:dyDescent="0.25">
      <c r="A561" s="23">
        <f t="shared" si="32"/>
        <v>560</v>
      </c>
      <c r="B561" s="24">
        <v>43106</v>
      </c>
      <c r="C561" s="18" t="str">
        <f t="shared" si="33"/>
        <v>Saturday</v>
      </c>
      <c r="D561" s="10" t="str">
        <f t="shared" si="34"/>
        <v>Same</v>
      </c>
      <c r="E561" s="2">
        <v>46.49</v>
      </c>
      <c r="F561" s="2">
        <v>7</v>
      </c>
      <c r="G561" s="1">
        <f t="shared" si="35"/>
        <v>0.15057001505700149</v>
      </c>
      <c r="H561" s="2">
        <v>5</v>
      </c>
      <c r="I561" s="26">
        <v>0.80138888888888893</v>
      </c>
      <c r="J561" s="26">
        <v>0.8305555555555556</v>
      </c>
      <c r="K561" s="27">
        <f>Table3[[#This Row],[Delivery Time]]-Table3[[#This Row],[Order Time]]</f>
        <v>2.9166666666666674E-2</v>
      </c>
      <c r="L561" s="43">
        <v>42</v>
      </c>
      <c r="M561" s="25" t="s">
        <v>0</v>
      </c>
      <c r="N561" s="28"/>
      <c r="O561" s="28" t="s">
        <v>39</v>
      </c>
      <c r="P561" s="25" t="s">
        <v>20</v>
      </c>
    </row>
    <row r="562" spans="1:16" x14ac:dyDescent="0.25">
      <c r="A562" s="23">
        <f t="shared" si="32"/>
        <v>561</v>
      </c>
      <c r="B562" s="24">
        <v>43106</v>
      </c>
      <c r="C562" s="18" t="str">
        <f t="shared" si="33"/>
        <v>Saturday</v>
      </c>
      <c r="D562" s="10" t="str">
        <f t="shared" si="34"/>
        <v>Same</v>
      </c>
      <c r="E562" s="2">
        <v>27.6</v>
      </c>
      <c r="F562" s="2">
        <v>4</v>
      </c>
      <c r="G562" s="1">
        <f t="shared" si="35"/>
        <v>0.14492753623188406</v>
      </c>
      <c r="H562" s="2">
        <v>1.5</v>
      </c>
      <c r="I562" s="26">
        <v>0.8354166666666667</v>
      </c>
      <c r="J562" s="26">
        <v>0.85972222222222217</v>
      </c>
      <c r="K562" s="27">
        <f>Table3[[#This Row],[Delivery Time]]-Table3[[#This Row],[Order Time]]</f>
        <v>2.4305555555555469E-2</v>
      </c>
      <c r="L562" s="43">
        <v>35</v>
      </c>
      <c r="M562" s="25" t="s">
        <v>0</v>
      </c>
      <c r="N562" s="28"/>
      <c r="O562" s="28" t="s">
        <v>39</v>
      </c>
      <c r="P562" s="25" t="s">
        <v>20</v>
      </c>
    </row>
    <row r="563" spans="1:16" x14ac:dyDescent="0.25">
      <c r="A563" s="23">
        <f t="shared" si="32"/>
        <v>562</v>
      </c>
      <c r="B563" s="24">
        <v>43106</v>
      </c>
      <c r="C563" s="18" t="str">
        <f t="shared" si="33"/>
        <v>Saturday</v>
      </c>
      <c r="D563" s="10" t="str">
        <f t="shared" si="34"/>
        <v>Same</v>
      </c>
      <c r="E563" s="2">
        <v>20.78</v>
      </c>
      <c r="F563" s="2">
        <v>4</v>
      </c>
      <c r="G563" s="1">
        <f t="shared" si="35"/>
        <v>0.19249278152069296</v>
      </c>
      <c r="H563" s="2">
        <v>5</v>
      </c>
      <c r="I563" s="26">
        <v>0.84722222222222221</v>
      </c>
      <c r="J563" s="26">
        <v>0.8666666666666667</v>
      </c>
      <c r="K563" s="27">
        <f>Table3[[#This Row],[Delivery Time]]-Table3[[#This Row],[Order Time]]</f>
        <v>1.9444444444444486E-2</v>
      </c>
      <c r="L563" s="43">
        <v>28</v>
      </c>
      <c r="M563" s="25" t="s">
        <v>0</v>
      </c>
      <c r="N563" s="28"/>
      <c r="O563" s="28" t="s">
        <v>39</v>
      </c>
      <c r="P563" s="25" t="s">
        <v>20</v>
      </c>
    </row>
    <row r="564" spans="1:16" x14ac:dyDescent="0.25">
      <c r="A564" s="23">
        <f t="shared" si="32"/>
        <v>563</v>
      </c>
      <c r="B564" s="24">
        <v>43106</v>
      </c>
      <c r="C564" s="18" t="str">
        <f t="shared" si="33"/>
        <v>Saturday</v>
      </c>
      <c r="D564" s="10" t="str">
        <f t="shared" si="34"/>
        <v>Same</v>
      </c>
      <c r="E564" s="2">
        <v>24.03</v>
      </c>
      <c r="F564" s="2">
        <v>0</v>
      </c>
      <c r="G564" s="1">
        <f t="shared" si="35"/>
        <v>0</v>
      </c>
      <c r="H564" s="2">
        <v>7</v>
      </c>
      <c r="I564" s="26">
        <v>0.83958333333333324</v>
      </c>
      <c r="J564" s="26">
        <v>0.87708333333333333</v>
      </c>
      <c r="K564" s="27">
        <f>Table3[[#This Row],[Delivery Time]]-Table3[[#This Row],[Order Time]]</f>
        <v>3.7500000000000089E-2</v>
      </c>
      <c r="L564" s="43">
        <v>53.999999999999993</v>
      </c>
      <c r="M564" s="25" t="s">
        <v>0</v>
      </c>
      <c r="N564" s="28"/>
      <c r="O564" s="28" t="s">
        <v>40</v>
      </c>
      <c r="P564" s="25" t="s">
        <v>20</v>
      </c>
    </row>
    <row r="565" spans="1:16" x14ac:dyDescent="0.25">
      <c r="A565" s="23">
        <f t="shared" si="32"/>
        <v>564</v>
      </c>
      <c r="B565" s="24">
        <v>43107</v>
      </c>
      <c r="C565" s="18" t="str">
        <f t="shared" si="33"/>
        <v>Sunday</v>
      </c>
      <c r="D565" s="10" t="str">
        <f t="shared" si="34"/>
        <v>Different</v>
      </c>
      <c r="E565" s="2">
        <v>22.41</v>
      </c>
      <c r="F565" s="2">
        <v>8</v>
      </c>
      <c r="G565" s="1">
        <f t="shared" si="35"/>
        <v>0.35698348951360998</v>
      </c>
      <c r="H565" s="2">
        <v>1.5</v>
      </c>
      <c r="I565" s="26">
        <v>0.68333333333333324</v>
      </c>
      <c r="J565" s="26">
        <v>0.71180555555555547</v>
      </c>
      <c r="K565" s="27">
        <f>Table3[[#This Row],[Delivery Time]]-Table3[[#This Row],[Order Time]]</f>
        <v>2.8472222222222232E-2</v>
      </c>
      <c r="L565" s="43">
        <v>41</v>
      </c>
      <c r="M565" s="25" t="s">
        <v>11</v>
      </c>
      <c r="N565" s="28"/>
      <c r="O565" s="28" t="s">
        <v>41</v>
      </c>
      <c r="P565" s="25" t="s">
        <v>20</v>
      </c>
    </row>
    <row r="566" spans="1:16" x14ac:dyDescent="0.25">
      <c r="A566" s="23">
        <f t="shared" si="32"/>
        <v>565</v>
      </c>
      <c r="B566" s="24">
        <v>43107</v>
      </c>
      <c r="C566" s="18" t="str">
        <f t="shared" si="33"/>
        <v>Sunday</v>
      </c>
      <c r="D566" s="10" t="str">
        <f t="shared" si="34"/>
        <v>Same</v>
      </c>
      <c r="E566" s="2">
        <v>37.56</v>
      </c>
      <c r="F566" s="2">
        <v>7</v>
      </c>
      <c r="G566" s="1">
        <f t="shared" si="35"/>
        <v>0.18636847710330137</v>
      </c>
      <c r="H566" s="2">
        <v>1.5</v>
      </c>
      <c r="I566" s="26">
        <v>0.68541666666666667</v>
      </c>
      <c r="J566" s="26">
        <v>0.71527777777777779</v>
      </c>
      <c r="K566" s="27">
        <f>Table3[[#This Row],[Delivery Time]]-Table3[[#This Row],[Order Time]]</f>
        <v>2.9861111111111116E-2</v>
      </c>
      <c r="L566" s="43">
        <v>43</v>
      </c>
      <c r="M566" s="25" t="s">
        <v>11</v>
      </c>
      <c r="N566" s="28"/>
      <c r="O566" s="28" t="s">
        <v>41</v>
      </c>
      <c r="P566" s="25" t="s">
        <v>20</v>
      </c>
    </row>
    <row r="567" spans="1:16" x14ac:dyDescent="0.25">
      <c r="A567" s="23">
        <f t="shared" si="32"/>
        <v>566</v>
      </c>
      <c r="B567" s="24">
        <v>43107</v>
      </c>
      <c r="C567" s="18" t="str">
        <f t="shared" si="33"/>
        <v>Sunday</v>
      </c>
      <c r="D567" s="10" t="str">
        <f t="shared" si="34"/>
        <v>Same</v>
      </c>
      <c r="E567" s="2">
        <v>30.31</v>
      </c>
      <c r="F567" s="2">
        <v>9.69</v>
      </c>
      <c r="G567" s="1">
        <f t="shared" si="35"/>
        <v>0.31969646981194327</v>
      </c>
      <c r="H567" s="2">
        <v>1.5</v>
      </c>
      <c r="I567" s="26">
        <v>0.7090277777777777</v>
      </c>
      <c r="J567" s="26">
        <v>0.73541666666666661</v>
      </c>
      <c r="K567" s="27">
        <f>Table3[[#This Row],[Delivery Time]]-Table3[[#This Row],[Order Time]]</f>
        <v>2.6388888888888906E-2</v>
      </c>
      <c r="L567" s="43">
        <v>38</v>
      </c>
      <c r="M567" s="25" t="s">
        <v>11</v>
      </c>
      <c r="N567" s="28"/>
      <c r="O567" s="28" t="s">
        <v>39</v>
      </c>
      <c r="P567" s="25" t="s">
        <v>20</v>
      </c>
    </row>
    <row r="568" spans="1:16" x14ac:dyDescent="0.25">
      <c r="A568" s="23">
        <f t="shared" si="32"/>
        <v>567</v>
      </c>
      <c r="B568" s="24">
        <v>43107</v>
      </c>
      <c r="C568" s="18" t="str">
        <f t="shared" si="33"/>
        <v>Sunday</v>
      </c>
      <c r="D568" s="10" t="str">
        <f t="shared" si="34"/>
        <v>Same</v>
      </c>
      <c r="E568" s="2">
        <v>98.67</v>
      </c>
      <c r="F568" s="2">
        <v>15</v>
      </c>
      <c r="G568" s="1">
        <f t="shared" si="35"/>
        <v>0.15202189115232592</v>
      </c>
      <c r="H568" s="2">
        <v>5</v>
      </c>
      <c r="I568" s="26">
        <v>0.72013888888888899</v>
      </c>
      <c r="J568" s="26">
        <v>0.74583333333333324</v>
      </c>
      <c r="K568" s="27">
        <f>Table3[[#This Row],[Delivery Time]]-Table3[[#This Row],[Order Time]]</f>
        <v>2.5694444444444242E-2</v>
      </c>
      <c r="L568" s="43">
        <v>37</v>
      </c>
      <c r="M568" s="25" t="s">
        <v>1</v>
      </c>
      <c r="N568" s="28"/>
      <c r="O568" s="28" t="s">
        <v>39</v>
      </c>
      <c r="P568" s="25" t="s">
        <v>20</v>
      </c>
    </row>
    <row r="569" spans="1:16" x14ac:dyDescent="0.25">
      <c r="A569" s="23">
        <f t="shared" si="32"/>
        <v>568</v>
      </c>
      <c r="B569" s="24">
        <v>43107</v>
      </c>
      <c r="C569" s="18" t="str">
        <f t="shared" si="33"/>
        <v>Sunday</v>
      </c>
      <c r="D569" s="10" t="str">
        <f t="shared" si="34"/>
        <v>Same</v>
      </c>
      <c r="E569" s="2">
        <v>29.17</v>
      </c>
      <c r="F569" s="2">
        <v>3</v>
      </c>
      <c r="G569" s="1">
        <f t="shared" si="35"/>
        <v>0.10284538909838875</v>
      </c>
      <c r="H569" s="2">
        <v>1.5</v>
      </c>
      <c r="I569" s="26">
        <v>0.75763888888888886</v>
      </c>
      <c r="J569" s="26">
        <v>0.78402777777777777</v>
      </c>
      <c r="K569" s="27">
        <f>Table3[[#This Row],[Delivery Time]]-Table3[[#This Row],[Order Time]]</f>
        <v>2.6388888888888906E-2</v>
      </c>
      <c r="L569" s="43">
        <v>38</v>
      </c>
      <c r="M569" s="25" t="s">
        <v>11</v>
      </c>
      <c r="N569" s="28"/>
      <c r="O569" s="28" t="s">
        <v>39</v>
      </c>
      <c r="P569" s="25" t="s">
        <v>20</v>
      </c>
    </row>
    <row r="570" spans="1:16" x14ac:dyDescent="0.25">
      <c r="A570" s="23">
        <f t="shared" si="32"/>
        <v>569</v>
      </c>
      <c r="B570" s="24">
        <v>43107</v>
      </c>
      <c r="C570" s="18" t="str">
        <f t="shared" si="33"/>
        <v>Sunday</v>
      </c>
      <c r="D570" s="10" t="str">
        <f t="shared" si="34"/>
        <v>Same</v>
      </c>
      <c r="E570" s="2">
        <v>29.17</v>
      </c>
      <c r="F570" s="2">
        <v>8</v>
      </c>
      <c r="G570" s="1">
        <f t="shared" si="35"/>
        <v>0.27425437092903665</v>
      </c>
      <c r="H570" s="2">
        <v>1.5</v>
      </c>
      <c r="I570" s="26">
        <v>0.76666666666666661</v>
      </c>
      <c r="J570" s="26">
        <v>0.78888888888888886</v>
      </c>
      <c r="K570" s="27">
        <f>Table3[[#This Row],[Delivery Time]]-Table3[[#This Row],[Order Time]]</f>
        <v>2.2222222222222254E-2</v>
      </c>
      <c r="L570" s="43">
        <v>32</v>
      </c>
      <c r="M570" s="25" t="s">
        <v>11</v>
      </c>
      <c r="N570" s="28"/>
      <c r="O570" s="28" t="s">
        <v>39</v>
      </c>
      <c r="P570" s="25" t="s">
        <v>20</v>
      </c>
    </row>
    <row r="571" spans="1:16" x14ac:dyDescent="0.25">
      <c r="A571" s="23">
        <f t="shared" si="32"/>
        <v>570</v>
      </c>
      <c r="B571" s="24">
        <v>43107</v>
      </c>
      <c r="C571" s="18" t="str">
        <f t="shared" si="33"/>
        <v>Sunday</v>
      </c>
      <c r="D571" s="10" t="str">
        <f t="shared" si="34"/>
        <v>Same</v>
      </c>
      <c r="E571" s="2">
        <v>35.130000000000003</v>
      </c>
      <c r="F571" s="2">
        <v>8</v>
      </c>
      <c r="G571" s="1">
        <f t="shared" si="35"/>
        <v>0.22772559066325077</v>
      </c>
      <c r="H571" s="2">
        <v>1.5</v>
      </c>
      <c r="I571" s="26">
        <v>0.7680555555555556</v>
      </c>
      <c r="J571" s="26">
        <v>0.79305555555555562</v>
      </c>
      <c r="K571" s="27">
        <f>Table3[[#This Row],[Delivery Time]]-Table3[[#This Row],[Order Time]]</f>
        <v>2.5000000000000022E-2</v>
      </c>
      <c r="L571" s="43">
        <v>36</v>
      </c>
      <c r="M571" s="25" t="s">
        <v>11</v>
      </c>
      <c r="N571" s="28"/>
      <c r="O571" s="28" t="s">
        <v>39</v>
      </c>
      <c r="P571" s="25" t="s">
        <v>20</v>
      </c>
    </row>
    <row r="572" spans="1:16" x14ac:dyDescent="0.25">
      <c r="A572" s="23">
        <f t="shared" si="32"/>
        <v>571</v>
      </c>
      <c r="B572" s="24">
        <v>43107</v>
      </c>
      <c r="C572" s="18" t="str">
        <f t="shared" si="33"/>
        <v>Sunday</v>
      </c>
      <c r="D572" s="10" t="str">
        <f t="shared" si="34"/>
        <v>Same</v>
      </c>
      <c r="E572" s="2">
        <v>73.77</v>
      </c>
      <c r="F572" s="2">
        <v>7</v>
      </c>
      <c r="G572" s="1">
        <f t="shared" si="35"/>
        <v>9.4889521485698805E-2</v>
      </c>
      <c r="H572" s="2">
        <v>1.5</v>
      </c>
      <c r="I572" s="26">
        <v>0.76041666666666663</v>
      </c>
      <c r="J572" s="26">
        <v>0.79791666666666661</v>
      </c>
      <c r="K572" s="27">
        <f>Table3[[#This Row],[Delivery Time]]-Table3[[#This Row],[Order Time]]</f>
        <v>3.7499999999999978E-2</v>
      </c>
      <c r="L572" s="43">
        <v>53.999999999999993</v>
      </c>
      <c r="M572" s="25" t="s">
        <v>11</v>
      </c>
      <c r="N572" s="28"/>
      <c r="O572" s="28" t="s">
        <v>39</v>
      </c>
      <c r="P572" s="25" t="s">
        <v>20</v>
      </c>
    </row>
    <row r="573" spans="1:16" x14ac:dyDescent="0.25">
      <c r="A573" s="23">
        <f t="shared" si="32"/>
        <v>572</v>
      </c>
      <c r="B573" s="24">
        <v>43107</v>
      </c>
      <c r="C573" s="18" t="str">
        <f t="shared" si="33"/>
        <v>Sunday</v>
      </c>
      <c r="D573" s="10" t="str">
        <f t="shared" si="34"/>
        <v>Same</v>
      </c>
      <c r="E573" s="2">
        <v>28.15</v>
      </c>
      <c r="F573" s="2">
        <v>16.850000000000001</v>
      </c>
      <c r="G573" s="1">
        <f t="shared" si="35"/>
        <v>0.59857904085257552</v>
      </c>
      <c r="H573" s="2">
        <v>1.5</v>
      </c>
      <c r="I573" s="26">
        <v>0.80347222222222225</v>
      </c>
      <c r="J573" s="26">
        <v>0.81874999999999998</v>
      </c>
      <c r="K573" s="27">
        <f>Table3[[#This Row],[Delivery Time]]-Table3[[#This Row],[Order Time]]</f>
        <v>1.5277777777777724E-2</v>
      </c>
      <c r="L573" s="43">
        <v>22</v>
      </c>
      <c r="M573" s="25" t="s">
        <v>0</v>
      </c>
      <c r="N573" s="28"/>
      <c r="O573" s="28" t="s">
        <v>39</v>
      </c>
      <c r="P573" s="25" t="s">
        <v>20</v>
      </c>
    </row>
    <row r="574" spans="1:16" x14ac:dyDescent="0.25">
      <c r="A574" s="23">
        <f t="shared" si="32"/>
        <v>573</v>
      </c>
      <c r="B574" s="24">
        <v>43112</v>
      </c>
      <c r="C574" s="18" t="str">
        <f t="shared" si="33"/>
        <v>Friday</v>
      </c>
      <c r="D574" s="10" t="str">
        <f t="shared" si="34"/>
        <v>Different</v>
      </c>
      <c r="E574" s="2">
        <v>35.18</v>
      </c>
      <c r="F574" s="2">
        <v>5.32</v>
      </c>
      <c r="G574" s="1">
        <f t="shared" si="35"/>
        <v>0.15122228538942581</v>
      </c>
      <c r="H574" s="2">
        <v>1.5</v>
      </c>
      <c r="I574" s="26">
        <v>0.68263888888888891</v>
      </c>
      <c r="J574" s="26">
        <v>0.70277777777777783</v>
      </c>
      <c r="K574" s="27">
        <f>Table3[[#This Row],[Delivery Time]]-Table3[[#This Row],[Order Time]]</f>
        <v>2.0138888888888928E-2</v>
      </c>
      <c r="L574" s="43">
        <v>29.000000000000004</v>
      </c>
      <c r="M574" s="25" t="s">
        <v>11</v>
      </c>
      <c r="N574" s="28"/>
      <c r="O574" s="28" t="s">
        <v>41</v>
      </c>
      <c r="P574" s="25" t="s">
        <v>20</v>
      </c>
    </row>
    <row r="575" spans="1:16" x14ac:dyDescent="0.25">
      <c r="A575" s="23">
        <f t="shared" si="32"/>
        <v>574</v>
      </c>
      <c r="B575" s="24">
        <v>43112</v>
      </c>
      <c r="C575" s="18" t="str">
        <f t="shared" si="33"/>
        <v>Friday</v>
      </c>
      <c r="D575" s="10" t="str">
        <f t="shared" si="34"/>
        <v>Same</v>
      </c>
      <c r="E575" s="2">
        <v>22.14</v>
      </c>
      <c r="F575" s="2">
        <v>4</v>
      </c>
      <c r="G575" s="1">
        <f t="shared" si="35"/>
        <v>0.18066847335140018</v>
      </c>
      <c r="H575" s="2">
        <v>1.5</v>
      </c>
      <c r="I575" s="26">
        <v>0.75347222222222221</v>
      </c>
      <c r="J575" s="26">
        <v>0.77777777777777779</v>
      </c>
      <c r="K575" s="27">
        <f>Table3[[#This Row],[Delivery Time]]-Table3[[#This Row],[Order Time]]</f>
        <v>2.430555555555558E-2</v>
      </c>
      <c r="L575" s="43">
        <v>35</v>
      </c>
      <c r="M575" s="25" t="s">
        <v>12</v>
      </c>
      <c r="N575" s="28"/>
      <c r="O575" s="28" t="s">
        <v>39</v>
      </c>
      <c r="P575" s="25" t="s">
        <v>20</v>
      </c>
    </row>
    <row r="576" spans="1:16" x14ac:dyDescent="0.25">
      <c r="A576" s="23">
        <f t="shared" si="32"/>
        <v>575</v>
      </c>
      <c r="B576" s="24">
        <v>43112</v>
      </c>
      <c r="C576" s="18" t="str">
        <f t="shared" si="33"/>
        <v>Friday</v>
      </c>
      <c r="D576" s="10" t="str">
        <f t="shared" si="34"/>
        <v>Same</v>
      </c>
      <c r="E576" s="2">
        <v>32.69</v>
      </c>
      <c r="F576" s="2">
        <v>5</v>
      </c>
      <c r="G576" s="1">
        <f t="shared" si="35"/>
        <v>0.15295197308045275</v>
      </c>
      <c r="H576" s="2">
        <v>1.5</v>
      </c>
      <c r="I576" s="26">
        <v>0.7597222222222223</v>
      </c>
      <c r="J576" s="26">
        <v>0.78402777777777777</v>
      </c>
      <c r="K576" s="27">
        <f>Table3[[#This Row],[Delivery Time]]-Table3[[#This Row],[Order Time]]</f>
        <v>2.4305555555555469E-2</v>
      </c>
      <c r="L576" s="43">
        <v>35</v>
      </c>
      <c r="M576" s="25" t="s">
        <v>0</v>
      </c>
      <c r="N576" s="28"/>
      <c r="O576" s="28" t="s">
        <v>39</v>
      </c>
      <c r="P576" s="25" t="s">
        <v>20</v>
      </c>
    </row>
    <row r="577" spans="1:16" x14ac:dyDescent="0.25">
      <c r="A577" s="23">
        <f t="shared" si="32"/>
        <v>576</v>
      </c>
      <c r="B577" s="24">
        <v>43112</v>
      </c>
      <c r="C577" s="18" t="str">
        <f t="shared" si="33"/>
        <v>Friday</v>
      </c>
      <c r="D577" s="10" t="str">
        <f t="shared" si="34"/>
        <v>Same</v>
      </c>
      <c r="E577" s="2">
        <v>23.49</v>
      </c>
      <c r="F577" s="2">
        <v>3</v>
      </c>
      <c r="G577" s="1">
        <f t="shared" si="35"/>
        <v>0.1277139208173691</v>
      </c>
      <c r="H577" s="2">
        <v>5</v>
      </c>
      <c r="I577" s="26">
        <v>0.75486111111111109</v>
      </c>
      <c r="J577" s="26">
        <v>0.79236111111111107</v>
      </c>
      <c r="K577" s="27">
        <f>Table3[[#This Row],[Delivery Time]]-Table3[[#This Row],[Order Time]]</f>
        <v>3.7499999999999978E-2</v>
      </c>
      <c r="L577" s="43">
        <v>53.999999999999993</v>
      </c>
      <c r="M577" s="25" t="s">
        <v>0</v>
      </c>
      <c r="N577" s="28"/>
      <c r="O577" s="28" t="s">
        <v>39</v>
      </c>
      <c r="P577" s="25" t="s">
        <v>20</v>
      </c>
    </row>
    <row r="578" spans="1:16" x14ac:dyDescent="0.25">
      <c r="A578" s="23">
        <f t="shared" si="32"/>
        <v>577</v>
      </c>
      <c r="B578" s="24">
        <v>43112</v>
      </c>
      <c r="C578" s="18" t="str">
        <f t="shared" si="33"/>
        <v>Friday</v>
      </c>
      <c r="D578" s="10" t="str">
        <f t="shared" si="34"/>
        <v>Same</v>
      </c>
      <c r="E578" s="2">
        <v>83.73</v>
      </c>
      <c r="F578" s="2">
        <v>10</v>
      </c>
      <c r="G578" s="1">
        <f t="shared" si="35"/>
        <v>0.11943150603129105</v>
      </c>
      <c r="H578" s="2">
        <v>5</v>
      </c>
      <c r="I578" s="26">
        <v>0.76111111111111107</v>
      </c>
      <c r="J578" s="26">
        <v>0.7993055555555556</v>
      </c>
      <c r="K578" s="27">
        <f>Table3[[#This Row],[Delivery Time]]-Table3[[#This Row],[Order Time]]</f>
        <v>3.8194444444444531E-2</v>
      </c>
      <c r="L578" s="43">
        <v>54.999999999999993</v>
      </c>
      <c r="M578" s="25" t="s">
        <v>0</v>
      </c>
      <c r="N578" s="28"/>
      <c r="O578" s="28" t="s">
        <v>39</v>
      </c>
      <c r="P578" s="25" t="s">
        <v>20</v>
      </c>
    </row>
    <row r="579" spans="1:16" x14ac:dyDescent="0.25">
      <c r="A579" s="23">
        <f t="shared" si="32"/>
        <v>578</v>
      </c>
      <c r="B579" s="24">
        <v>43113</v>
      </c>
      <c r="C579" s="18" t="str">
        <f t="shared" si="33"/>
        <v>Saturday</v>
      </c>
      <c r="D579" s="10" t="str">
        <f t="shared" si="34"/>
        <v>Different</v>
      </c>
      <c r="E579" s="2">
        <v>36.43</v>
      </c>
      <c r="F579" s="2">
        <v>5</v>
      </c>
      <c r="G579" s="1">
        <f t="shared" si="35"/>
        <v>0.1372495196266813</v>
      </c>
      <c r="H579" s="2">
        <v>1.5</v>
      </c>
      <c r="I579" s="26">
        <v>0.68819444444444444</v>
      </c>
      <c r="J579" s="26">
        <v>0.72013888888888899</v>
      </c>
      <c r="K579" s="27">
        <f>Table3[[#This Row],[Delivery Time]]-Table3[[#This Row],[Order Time]]</f>
        <v>3.1944444444444553E-2</v>
      </c>
      <c r="L579" s="43">
        <v>46.000000000000007</v>
      </c>
      <c r="M579" s="25" t="s">
        <v>0</v>
      </c>
      <c r="N579" s="28"/>
      <c r="O579" s="28" t="s">
        <v>42</v>
      </c>
      <c r="P579" s="25" t="s">
        <v>20</v>
      </c>
    </row>
    <row r="580" spans="1:16" x14ac:dyDescent="0.25">
      <c r="A580" s="23">
        <f t="shared" si="32"/>
        <v>579</v>
      </c>
      <c r="B580" s="24">
        <v>43113</v>
      </c>
      <c r="C580" s="18" t="str">
        <f t="shared" si="33"/>
        <v>Saturday</v>
      </c>
      <c r="D580" s="10" t="str">
        <f t="shared" si="34"/>
        <v>Same</v>
      </c>
      <c r="E580" s="2">
        <v>39.4</v>
      </c>
      <c r="F580" s="2">
        <v>6</v>
      </c>
      <c r="G580" s="1">
        <f t="shared" si="35"/>
        <v>0.15228426395939088</v>
      </c>
      <c r="H580" s="2">
        <v>5</v>
      </c>
      <c r="I580" s="26">
        <v>0.75</v>
      </c>
      <c r="J580" s="26">
        <v>0.77708333333333324</v>
      </c>
      <c r="K580" s="27">
        <f>Table3[[#This Row],[Delivery Time]]-Table3[[#This Row],[Order Time]]</f>
        <v>2.7083333333333237E-2</v>
      </c>
      <c r="L580" s="43">
        <v>39</v>
      </c>
      <c r="M580" s="25" t="s">
        <v>27</v>
      </c>
      <c r="N580" s="28"/>
      <c r="O580" s="28" t="s">
        <v>39</v>
      </c>
      <c r="P580" s="25" t="s">
        <v>20</v>
      </c>
    </row>
    <row r="581" spans="1:16" x14ac:dyDescent="0.25">
      <c r="A581" s="23">
        <f t="shared" si="32"/>
        <v>580</v>
      </c>
      <c r="B581" s="24">
        <v>43113</v>
      </c>
      <c r="C581" s="18" t="str">
        <f t="shared" si="33"/>
        <v>Saturday</v>
      </c>
      <c r="D581" s="10" t="str">
        <f t="shared" si="34"/>
        <v>Same</v>
      </c>
      <c r="E581" s="2">
        <v>25.11</v>
      </c>
      <c r="F581" s="2">
        <v>3</v>
      </c>
      <c r="G581" s="1">
        <f t="shared" si="35"/>
        <v>0.11947431302270012</v>
      </c>
      <c r="H581" s="2">
        <v>1.5</v>
      </c>
      <c r="I581" s="26">
        <v>0.75347222222222221</v>
      </c>
      <c r="J581" s="26">
        <v>0.79027777777777775</v>
      </c>
      <c r="K581" s="27">
        <f>Table3[[#This Row],[Delivery Time]]-Table3[[#This Row],[Order Time]]</f>
        <v>3.6805555555555536E-2</v>
      </c>
      <c r="L581" s="43">
        <v>53</v>
      </c>
      <c r="M581" s="25" t="s">
        <v>0</v>
      </c>
      <c r="N581" s="28"/>
      <c r="O581" s="28" t="s">
        <v>41</v>
      </c>
      <c r="P581" s="25" t="s">
        <v>20</v>
      </c>
    </row>
    <row r="582" spans="1:16" x14ac:dyDescent="0.25">
      <c r="A582" s="23">
        <f t="shared" ref="A582:A645" si="36">ROW(A581)</f>
        <v>581</v>
      </c>
      <c r="B582" s="24">
        <v>43113</v>
      </c>
      <c r="C582" s="18" t="str">
        <f t="shared" ref="C582:C645" si="37">TEXT(B582,"dddd")</f>
        <v>Saturday</v>
      </c>
      <c r="D582" s="10" t="str">
        <f t="shared" ref="D582:D645" si="38">IF(B581=B582, "Same", "Different")</f>
        <v>Same</v>
      </c>
      <c r="E582" s="2">
        <v>40.270000000000003</v>
      </c>
      <c r="F582" s="2">
        <v>8</v>
      </c>
      <c r="G582" s="1">
        <f t="shared" ref="G582:G645" si="39">F582/E582</f>
        <v>0.19865905140302953</v>
      </c>
      <c r="H582" s="2">
        <v>1.5</v>
      </c>
      <c r="I582" s="26">
        <v>0.79513888888888884</v>
      </c>
      <c r="J582" s="26">
        <v>0.81736111111111109</v>
      </c>
      <c r="K582" s="27">
        <f>Table3[[#This Row],[Delivery Time]]-Table3[[#This Row],[Order Time]]</f>
        <v>2.2222222222222254E-2</v>
      </c>
      <c r="L582" s="43">
        <v>32</v>
      </c>
      <c r="M582" s="25" t="s">
        <v>0</v>
      </c>
      <c r="N582" s="28"/>
      <c r="O582" s="28" t="s">
        <v>39</v>
      </c>
      <c r="P582" s="25" t="s">
        <v>20</v>
      </c>
    </row>
    <row r="583" spans="1:16" x14ac:dyDescent="0.25">
      <c r="A583" s="23">
        <f t="shared" si="36"/>
        <v>582</v>
      </c>
      <c r="B583" s="24">
        <v>43113</v>
      </c>
      <c r="C583" s="18" t="str">
        <f t="shared" si="37"/>
        <v>Saturday</v>
      </c>
      <c r="D583" s="10" t="str">
        <f t="shared" si="38"/>
        <v>Same</v>
      </c>
      <c r="E583" s="2">
        <v>24.3</v>
      </c>
      <c r="F583" s="2">
        <v>4</v>
      </c>
      <c r="G583" s="1">
        <f t="shared" si="39"/>
        <v>0.16460905349794239</v>
      </c>
      <c r="H583" s="2">
        <v>1.5</v>
      </c>
      <c r="I583" s="26">
        <v>0.82986111111111116</v>
      </c>
      <c r="J583" s="26">
        <v>0.84930555555555554</v>
      </c>
      <c r="K583" s="27">
        <f>Table3[[#This Row],[Delivery Time]]-Table3[[#This Row],[Order Time]]</f>
        <v>1.9444444444444375E-2</v>
      </c>
      <c r="L583" s="43">
        <v>28</v>
      </c>
      <c r="M583" s="25" t="s">
        <v>0</v>
      </c>
      <c r="N583" s="28"/>
      <c r="O583" s="28" t="s">
        <v>39</v>
      </c>
      <c r="P583" s="25" t="s">
        <v>20</v>
      </c>
    </row>
    <row r="584" spans="1:16" x14ac:dyDescent="0.25">
      <c r="A584" s="23">
        <f t="shared" si="36"/>
        <v>583</v>
      </c>
      <c r="B584" s="24">
        <v>43114</v>
      </c>
      <c r="C584" s="18" t="str">
        <f t="shared" si="37"/>
        <v>Sunday</v>
      </c>
      <c r="D584" s="10" t="str">
        <f t="shared" si="38"/>
        <v>Different</v>
      </c>
      <c r="E584" s="2">
        <v>77.400000000000006</v>
      </c>
      <c r="F584" s="2">
        <v>6</v>
      </c>
      <c r="G584" s="1">
        <f t="shared" si="39"/>
        <v>7.7519379844961239E-2</v>
      </c>
      <c r="H584" s="2">
        <v>1.5</v>
      </c>
      <c r="I584" s="26">
        <v>0.70416666666666661</v>
      </c>
      <c r="J584" s="26">
        <v>0.7270833333333333</v>
      </c>
      <c r="K584" s="27">
        <f>Table3[[#This Row],[Delivery Time]]-Table3[[#This Row],[Order Time]]</f>
        <v>2.2916666666666696E-2</v>
      </c>
      <c r="L584" s="43">
        <v>33</v>
      </c>
      <c r="M584" s="25" t="s">
        <v>0</v>
      </c>
      <c r="N584" s="28" t="s">
        <v>22</v>
      </c>
      <c r="O584" s="28" t="s">
        <v>39</v>
      </c>
      <c r="P584" s="25" t="s">
        <v>20</v>
      </c>
    </row>
    <row r="585" spans="1:16" x14ac:dyDescent="0.25">
      <c r="A585" s="23">
        <f t="shared" si="36"/>
        <v>584</v>
      </c>
      <c r="B585" s="24">
        <v>43114</v>
      </c>
      <c r="C585" s="18" t="str">
        <f t="shared" si="37"/>
        <v>Sunday</v>
      </c>
      <c r="D585" s="10" t="str">
        <f t="shared" si="38"/>
        <v>Same</v>
      </c>
      <c r="E585" s="2">
        <v>43.84</v>
      </c>
      <c r="F585" s="2">
        <v>10</v>
      </c>
      <c r="G585" s="1">
        <f t="shared" si="39"/>
        <v>0.22810218978102187</v>
      </c>
      <c r="H585" s="2">
        <v>5</v>
      </c>
      <c r="I585" s="26">
        <v>0.69930555555555562</v>
      </c>
      <c r="J585" s="26">
        <v>0.7368055555555556</v>
      </c>
      <c r="K585" s="27">
        <f>Table3[[#This Row],[Delivery Time]]-Table3[[#This Row],[Order Time]]</f>
        <v>3.7499999999999978E-2</v>
      </c>
      <c r="L585" s="43">
        <v>53.999999999999993</v>
      </c>
      <c r="M585" s="25" t="s">
        <v>0</v>
      </c>
      <c r="N585" s="28"/>
      <c r="O585" s="28" t="s">
        <v>39</v>
      </c>
      <c r="P585" s="25" t="s">
        <v>20</v>
      </c>
    </row>
    <row r="586" spans="1:16" x14ac:dyDescent="0.25">
      <c r="A586" s="23">
        <f t="shared" si="36"/>
        <v>585</v>
      </c>
      <c r="B586" s="24">
        <v>43114</v>
      </c>
      <c r="C586" s="18" t="str">
        <f t="shared" si="37"/>
        <v>Sunday</v>
      </c>
      <c r="D586" s="10" t="str">
        <f t="shared" si="38"/>
        <v>Same</v>
      </c>
      <c r="E586" s="2">
        <v>69.44</v>
      </c>
      <c r="F586" s="2">
        <v>20</v>
      </c>
      <c r="G586" s="1">
        <f t="shared" si="39"/>
        <v>0.28801843317972353</v>
      </c>
      <c r="H586" s="2">
        <v>1.5</v>
      </c>
      <c r="I586" s="26">
        <v>0.75624999999999998</v>
      </c>
      <c r="J586" s="26">
        <v>0.78194444444444444</v>
      </c>
      <c r="K586" s="27">
        <f>Table3[[#This Row],[Delivery Time]]-Table3[[#This Row],[Order Time]]</f>
        <v>2.5694444444444464E-2</v>
      </c>
      <c r="L586" s="43">
        <v>37</v>
      </c>
      <c r="M586" s="25" t="s">
        <v>0</v>
      </c>
      <c r="N586" s="28" t="s">
        <v>22</v>
      </c>
      <c r="O586" s="28" t="s">
        <v>39</v>
      </c>
      <c r="P586" s="25" t="s">
        <v>20</v>
      </c>
    </row>
    <row r="587" spans="1:16" x14ac:dyDescent="0.25">
      <c r="A587" s="23">
        <f t="shared" si="36"/>
        <v>586</v>
      </c>
      <c r="B587" s="24">
        <v>43114</v>
      </c>
      <c r="C587" s="18" t="str">
        <f t="shared" si="37"/>
        <v>Sunday</v>
      </c>
      <c r="D587" s="10" t="str">
        <f t="shared" si="38"/>
        <v>Same</v>
      </c>
      <c r="E587" s="2">
        <v>22.14</v>
      </c>
      <c r="F587" s="2">
        <v>4</v>
      </c>
      <c r="G587" s="1">
        <f t="shared" si="39"/>
        <v>0.18066847335140018</v>
      </c>
      <c r="H587" s="2">
        <v>1.5</v>
      </c>
      <c r="I587" s="26">
        <v>0.75902777777777775</v>
      </c>
      <c r="J587" s="26">
        <v>0.79236111111111107</v>
      </c>
      <c r="K587" s="27">
        <f>Table3[[#This Row],[Delivery Time]]-Table3[[#This Row],[Order Time]]</f>
        <v>3.3333333333333326E-2</v>
      </c>
      <c r="L587" s="43">
        <v>48</v>
      </c>
      <c r="M587" s="25" t="s">
        <v>0</v>
      </c>
      <c r="N587" s="28"/>
      <c r="O587" s="28" t="s">
        <v>41</v>
      </c>
      <c r="P587" s="25" t="s">
        <v>20</v>
      </c>
    </row>
    <row r="588" spans="1:16" x14ac:dyDescent="0.25">
      <c r="A588" s="23">
        <f t="shared" si="36"/>
        <v>587</v>
      </c>
      <c r="B588" s="24">
        <v>43114</v>
      </c>
      <c r="C588" s="18" t="str">
        <f t="shared" si="37"/>
        <v>Sunday</v>
      </c>
      <c r="D588" s="10" t="str">
        <f t="shared" si="38"/>
        <v>Same</v>
      </c>
      <c r="E588" s="2">
        <v>56.72</v>
      </c>
      <c r="F588" s="2">
        <v>4</v>
      </c>
      <c r="G588" s="1">
        <f t="shared" si="39"/>
        <v>7.0521861777150918E-2</v>
      </c>
      <c r="H588" s="2">
        <v>1.5</v>
      </c>
      <c r="I588" s="26">
        <v>0.7909722222222223</v>
      </c>
      <c r="J588" s="26">
        <v>0.80972222222222223</v>
      </c>
      <c r="K588" s="27">
        <f>Table3[[#This Row],[Delivery Time]]-Table3[[#This Row],[Order Time]]</f>
        <v>1.8749999999999933E-2</v>
      </c>
      <c r="L588" s="43">
        <v>26.999999999999996</v>
      </c>
      <c r="M588" s="25" t="s">
        <v>11</v>
      </c>
      <c r="N588" s="28"/>
      <c r="O588" s="28" t="s">
        <v>39</v>
      </c>
      <c r="P588" s="25" t="s">
        <v>20</v>
      </c>
    </row>
    <row r="589" spans="1:16" x14ac:dyDescent="0.25">
      <c r="A589" s="23">
        <f t="shared" si="36"/>
        <v>588</v>
      </c>
      <c r="B589" s="24">
        <v>43114</v>
      </c>
      <c r="C589" s="18" t="str">
        <f t="shared" si="37"/>
        <v>Sunday</v>
      </c>
      <c r="D589" s="10" t="str">
        <f t="shared" si="38"/>
        <v>Same</v>
      </c>
      <c r="E589" s="2">
        <v>35.18</v>
      </c>
      <c r="F589" s="2">
        <v>5.82</v>
      </c>
      <c r="G589" s="1">
        <f t="shared" si="39"/>
        <v>0.16543490619670267</v>
      </c>
      <c r="H589" s="2">
        <v>1.5</v>
      </c>
      <c r="I589" s="26">
        <v>0.7895833333333333</v>
      </c>
      <c r="J589" s="26">
        <v>0.81736111111111109</v>
      </c>
      <c r="K589" s="27">
        <f>Table3[[#This Row],[Delivery Time]]-Table3[[#This Row],[Order Time]]</f>
        <v>2.777777777777779E-2</v>
      </c>
      <c r="L589" s="43">
        <v>40</v>
      </c>
      <c r="M589" s="25" t="s">
        <v>11</v>
      </c>
      <c r="N589" s="28"/>
      <c r="O589" s="28" t="s">
        <v>39</v>
      </c>
      <c r="P589" s="25" t="s">
        <v>20</v>
      </c>
    </row>
    <row r="590" spans="1:16" x14ac:dyDescent="0.25">
      <c r="A590" s="23">
        <f t="shared" si="36"/>
        <v>589</v>
      </c>
      <c r="B590" s="24">
        <v>43119</v>
      </c>
      <c r="C590" s="18" t="str">
        <f t="shared" si="37"/>
        <v>Friday</v>
      </c>
      <c r="D590" s="10" t="str">
        <f t="shared" si="38"/>
        <v>Different</v>
      </c>
      <c r="E590" s="2">
        <v>53.31</v>
      </c>
      <c r="F590" s="2">
        <v>5</v>
      </c>
      <c r="G590" s="1">
        <f t="shared" si="39"/>
        <v>9.3791033577190014E-2</v>
      </c>
      <c r="H590" s="2">
        <v>5</v>
      </c>
      <c r="I590" s="26">
        <v>0.74722222222222223</v>
      </c>
      <c r="J590" s="26">
        <v>0.77013888888888893</v>
      </c>
      <c r="K590" s="27">
        <f>Table3[[#This Row],[Delivery Time]]-Table3[[#This Row],[Order Time]]</f>
        <v>2.2916666666666696E-2</v>
      </c>
      <c r="L590" s="43">
        <v>33</v>
      </c>
      <c r="M590" s="25" t="s">
        <v>11</v>
      </c>
      <c r="N590" s="28"/>
      <c r="O590" s="28" t="s">
        <v>39</v>
      </c>
      <c r="P590" s="25" t="s">
        <v>20</v>
      </c>
    </row>
    <row r="591" spans="1:16" x14ac:dyDescent="0.25">
      <c r="A591" s="23">
        <f t="shared" si="36"/>
        <v>590</v>
      </c>
      <c r="B591" s="24">
        <v>43119</v>
      </c>
      <c r="C591" s="18" t="str">
        <f t="shared" si="37"/>
        <v>Friday</v>
      </c>
      <c r="D591" s="10" t="str">
        <f t="shared" si="38"/>
        <v>Same</v>
      </c>
      <c r="E591" s="2">
        <v>88.03</v>
      </c>
      <c r="F591" s="2">
        <v>5</v>
      </c>
      <c r="G591" s="1">
        <f t="shared" si="39"/>
        <v>5.6798818584573439E-2</v>
      </c>
      <c r="H591" s="2">
        <v>1.5</v>
      </c>
      <c r="I591" s="26">
        <v>0.77638888888888891</v>
      </c>
      <c r="J591" s="26">
        <v>0.79722222222222217</v>
      </c>
      <c r="K591" s="27">
        <f>Table3[[#This Row],[Delivery Time]]-Table3[[#This Row],[Order Time]]</f>
        <v>2.0833333333333259E-2</v>
      </c>
      <c r="L591" s="43">
        <v>30</v>
      </c>
      <c r="M591" s="25" t="s">
        <v>11</v>
      </c>
      <c r="N591" s="28"/>
      <c r="O591" s="28" t="s">
        <v>42</v>
      </c>
      <c r="P591" s="25" t="s">
        <v>20</v>
      </c>
    </row>
    <row r="592" spans="1:16" x14ac:dyDescent="0.25">
      <c r="A592" s="23">
        <f t="shared" si="36"/>
        <v>591</v>
      </c>
      <c r="B592" s="24">
        <v>43119</v>
      </c>
      <c r="C592" s="18" t="str">
        <f t="shared" si="37"/>
        <v>Friday</v>
      </c>
      <c r="D592" s="10" t="str">
        <f t="shared" si="38"/>
        <v>Same</v>
      </c>
      <c r="E592" s="2">
        <v>64.349999999999994</v>
      </c>
      <c r="F592" s="2">
        <v>18</v>
      </c>
      <c r="G592" s="1">
        <f t="shared" si="39"/>
        <v>0.27972027972027974</v>
      </c>
      <c r="H592" s="2">
        <v>5</v>
      </c>
      <c r="I592" s="26">
        <v>0.77777777777777779</v>
      </c>
      <c r="J592" s="26">
        <v>0.81736111111111109</v>
      </c>
      <c r="K592" s="27">
        <f>Table3[[#This Row],[Delivery Time]]-Table3[[#This Row],[Order Time]]</f>
        <v>3.9583333333333304E-2</v>
      </c>
      <c r="L592" s="43">
        <v>57</v>
      </c>
      <c r="M592" s="25" t="s">
        <v>36</v>
      </c>
      <c r="N592" s="28"/>
      <c r="O592" s="28" t="s">
        <v>39</v>
      </c>
      <c r="P592" s="25" t="s">
        <v>20</v>
      </c>
    </row>
    <row r="593" spans="1:16" x14ac:dyDescent="0.25">
      <c r="A593" s="23">
        <f t="shared" si="36"/>
        <v>592</v>
      </c>
      <c r="B593" s="24">
        <v>43119</v>
      </c>
      <c r="C593" s="18" t="str">
        <f t="shared" si="37"/>
        <v>Friday</v>
      </c>
      <c r="D593" s="10" t="str">
        <f t="shared" si="38"/>
        <v>Same</v>
      </c>
      <c r="E593" s="2">
        <v>29.44</v>
      </c>
      <c r="F593" s="2">
        <v>6.3</v>
      </c>
      <c r="G593" s="1">
        <f t="shared" si="39"/>
        <v>0.2139945652173913</v>
      </c>
      <c r="H593" s="2">
        <v>1.5</v>
      </c>
      <c r="I593" s="26">
        <v>0.81180555555555556</v>
      </c>
      <c r="J593" s="26">
        <v>0.83888888888888891</v>
      </c>
      <c r="K593" s="27">
        <f>Table3[[#This Row],[Delivery Time]]-Table3[[#This Row],[Order Time]]</f>
        <v>2.7083333333333348E-2</v>
      </c>
      <c r="L593" s="43">
        <v>39</v>
      </c>
      <c r="M593" s="25" t="s">
        <v>0</v>
      </c>
      <c r="N593" s="28"/>
      <c r="O593" s="28" t="s">
        <v>41</v>
      </c>
      <c r="P593" s="25" t="s">
        <v>20</v>
      </c>
    </row>
    <row r="594" spans="1:16" x14ac:dyDescent="0.25">
      <c r="A594" s="23">
        <f t="shared" si="36"/>
        <v>593</v>
      </c>
      <c r="B594" s="24">
        <v>43119</v>
      </c>
      <c r="C594" s="18" t="str">
        <f t="shared" si="37"/>
        <v>Friday</v>
      </c>
      <c r="D594" s="10" t="str">
        <f t="shared" si="38"/>
        <v>Same</v>
      </c>
      <c r="E594" s="2">
        <v>25.98</v>
      </c>
      <c r="F594" s="2">
        <v>2.02</v>
      </c>
      <c r="G594" s="1">
        <f t="shared" si="39"/>
        <v>7.7752117013086985E-2</v>
      </c>
      <c r="H594" s="2">
        <v>1.5</v>
      </c>
      <c r="I594" s="26">
        <v>0.84375</v>
      </c>
      <c r="J594" s="26">
        <v>0.85902777777777783</v>
      </c>
      <c r="K594" s="27">
        <f>Table3[[#This Row],[Delivery Time]]-Table3[[#This Row],[Order Time]]</f>
        <v>1.5277777777777835E-2</v>
      </c>
      <c r="L594" s="43">
        <v>22</v>
      </c>
      <c r="M594" s="25" t="s">
        <v>11</v>
      </c>
      <c r="N594" s="28"/>
      <c r="O594" s="28" t="s">
        <v>39</v>
      </c>
      <c r="P594" s="25" t="s">
        <v>20</v>
      </c>
    </row>
    <row r="595" spans="1:16" x14ac:dyDescent="0.25">
      <c r="A595" s="23">
        <f t="shared" si="36"/>
        <v>594</v>
      </c>
      <c r="B595" s="24">
        <v>43120</v>
      </c>
      <c r="C595" s="18" t="str">
        <f t="shared" si="37"/>
        <v>Saturday</v>
      </c>
      <c r="D595" s="10" t="str">
        <f t="shared" si="38"/>
        <v>Different</v>
      </c>
      <c r="E595" s="2">
        <v>41.35</v>
      </c>
      <c r="F595" s="2">
        <v>5.65</v>
      </c>
      <c r="G595" s="1">
        <f t="shared" si="39"/>
        <v>0.13663845223700122</v>
      </c>
      <c r="H595" s="2">
        <v>1.5</v>
      </c>
      <c r="I595" s="26">
        <v>0.72430555555555554</v>
      </c>
      <c r="J595" s="26">
        <v>0.74097222222222225</v>
      </c>
      <c r="K595" s="27">
        <f>Table3[[#This Row],[Delivery Time]]-Table3[[#This Row],[Order Time]]</f>
        <v>1.6666666666666718E-2</v>
      </c>
      <c r="L595" s="43">
        <v>24</v>
      </c>
      <c r="M595" s="25" t="s">
        <v>11</v>
      </c>
      <c r="N595" s="28"/>
      <c r="O595" s="28" t="s">
        <v>39</v>
      </c>
      <c r="P595" s="25" t="s">
        <v>20</v>
      </c>
    </row>
    <row r="596" spans="1:16" x14ac:dyDescent="0.25">
      <c r="A596" s="23">
        <f t="shared" si="36"/>
        <v>595</v>
      </c>
      <c r="B596" s="24">
        <v>43120</v>
      </c>
      <c r="C596" s="18" t="str">
        <f t="shared" si="37"/>
        <v>Saturday</v>
      </c>
      <c r="D596" s="10" t="str">
        <f t="shared" si="38"/>
        <v>Same</v>
      </c>
      <c r="E596" s="2">
        <v>37.450000000000003</v>
      </c>
      <c r="F596" s="2">
        <v>10</v>
      </c>
      <c r="G596" s="1">
        <f t="shared" si="39"/>
        <v>0.26702269692923897</v>
      </c>
      <c r="H596" s="2">
        <v>1.5</v>
      </c>
      <c r="I596" s="26">
        <v>0.75486111111111109</v>
      </c>
      <c r="J596" s="26">
        <v>0.77777777777777779</v>
      </c>
      <c r="K596" s="27">
        <f>Table3[[#This Row],[Delivery Time]]-Table3[[#This Row],[Order Time]]</f>
        <v>2.2916666666666696E-2</v>
      </c>
      <c r="L596" s="43">
        <v>33</v>
      </c>
      <c r="M596" s="25" t="s">
        <v>0</v>
      </c>
      <c r="N596" s="28" t="s">
        <v>25</v>
      </c>
      <c r="O596" s="28" t="s">
        <v>39</v>
      </c>
      <c r="P596" s="25" t="s">
        <v>20</v>
      </c>
    </row>
    <row r="597" spans="1:16" x14ac:dyDescent="0.25">
      <c r="A597" s="23">
        <f t="shared" si="36"/>
        <v>596</v>
      </c>
      <c r="B597" s="24">
        <v>43120</v>
      </c>
      <c r="C597" s="18" t="str">
        <f t="shared" si="37"/>
        <v>Saturday</v>
      </c>
      <c r="D597" s="10" t="str">
        <f t="shared" si="38"/>
        <v>Same</v>
      </c>
      <c r="E597" s="2">
        <v>20.239999999999998</v>
      </c>
      <c r="F597" s="2">
        <v>3</v>
      </c>
      <c r="G597" s="1">
        <f t="shared" si="39"/>
        <v>0.14822134387351779</v>
      </c>
      <c r="H597" s="2">
        <v>1.5</v>
      </c>
      <c r="I597" s="26">
        <v>0.7583333333333333</v>
      </c>
      <c r="J597" s="26">
        <v>0.78611111111111109</v>
      </c>
      <c r="K597" s="27">
        <f>Table3[[#This Row],[Delivery Time]]-Table3[[#This Row],[Order Time]]</f>
        <v>2.777777777777779E-2</v>
      </c>
      <c r="L597" s="43">
        <v>40</v>
      </c>
      <c r="M597" s="25" t="s">
        <v>0</v>
      </c>
      <c r="N597" s="28"/>
      <c r="O597" s="28" t="s">
        <v>39</v>
      </c>
      <c r="P597" s="25" t="s">
        <v>20</v>
      </c>
    </row>
    <row r="598" spans="1:16" x14ac:dyDescent="0.25">
      <c r="A598" s="23">
        <f t="shared" si="36"/>
        <v>597</v>
      </c>
      <c r="B598" s="24">
        <v>43121</v>
      </c>
      <c r="C598" s="18" t="str">
        <f t="shared" si="37"/>
        <v>Sunday</v>
      </c>
      <c r="D598" s="10" t="str">
        <f t="shared" si="38"/>
        <v>Different</v>
      </c>
      <c r="E598" s="2">
        <v>40.49</v>
      </c>
      <c r="F598" s="2">
        <v>6.51</v>
      </c>
      <c r="G598" s="1">
        <f t="shared" si="39"/>
        <v>0.16078043961471966</v>
      </c>
      <c r="H598" s="2">
        <v>1.5</v>
      </c>
      <c r="I598" s="26">
        <v>0.69027777777777777</v>
      </c>
      <c r="J598" s="26">
        <v>0.7104166666666667</v>
      </c>
      <c r="K598" s="27">
        <f>Table3[[#This Row],[Delivery Time]]-Table3[[#This Row],[Order Time]]</f>
        <v>2.0138888888888928E-2</v>
      </c>
      <c r="L598" s="43">
        <v>29.000000000000004</v>
      </c>
      <c r="M598" s="25" t="s">
        <v>0</v>
      </c>
      <c r="N598" s="28"/>
      <c r="O598" s="28" t="s">
        <v>39</v>
      </c>
      <c r="P598" s="25" t="s">
        <v>20</v>
      </c>
    </row>
    <row r="599" spans="1:16" x14ac:dyDescent="0.25">
      <c r="A599" s="23">
        <f t="shared" si="36"/>
        <v>598</v>
      </c>
      <c r="B599" s="24">
        <v>43121</v>
      </c>
      <c r="C599" s="18" t="str">
        <f t="shared" si="37"/>
        <v>Sunday</v>
      </c>
      <c r="D599" s="10" t="str">
        <f t="shared" si="38"/>
        <v>Same</v>
      </c>
      <c r="E599" s="2">
        <v>40.54</v>
      </c>
      <c r="F599" s="2">
        <v>7</v>
      </c>
      <c r="G599" s="1">
        <f t="shared" si="39"/>
        <v>0.17266896891958561</v>
      </c>
      <c r="H599" s="2">
        <v>5</v>
      </c>
      <c r="I599" s="26">
        <v>0.7104166666666667</v>
      </c>
      <c r="J599" s="26">
        <v>0.74513888888888891</v>
      </c>
      <c r="K599" s="27">
        <f>Table3[[#This Row],[Delivery Time]]-Table3[[#This Row],[Order Time]]</f>
        <v>3.472222222222221E-2</v>
      </c>
      <c r="L599" s="43">
        <v>50</v>
      </c>
      <c r="M599" s="25" t="s">
        <v>0</v>
      </c>
      <c r="N599" s="28"/>
      <c r="O599" s="28" t="s">
        <v>39</v>
      </c>
      <c r="P599" s="25" t="s">
        <v>20</v>
      </c>
    </row>
    <row r="600" spans="1:16" x14ac:dyDescent="0.25">
      <c r="A600" s="23">
        <f t="shared" si="36"/>
        <v>599</v>
      </c>
      <c r="B600" s="24">
        <v>43121</v>
      </c>
      <c r="C600" s="18" t="str">
        <f t="shared" si="37"/>
        <v>Sunday</v>
      </c>
      <c r="D600" s="10" t="str">
        <f t="shared" si="38"/>
        <v>Same</v>
      </c>
      <c r="E600" s="2">
        <v>31.61</v>
      </c>
      <c r="F600" s="2">
        <v>7</v>
      </c>
      <c r="G600" s="1">
        <f t="shared" si="39"/>
        <v>0.22144890857323632</v>
      </c>
      <c r="H600" s="2">
        <v>5</v>
      </c>
      <c r="I600" s="26">
        <v>0.71805555555555556</v>
      </c>
      <c r="J600" s="26">
        <v>0.75486111111111109</v>
      </c>
      <c r="K600" s="27">
        <f>Table3[[#This Row],[Delivery Time]]-Table3[[#This Row],[Order Time]]</f>
        <v>3.6805555555555536E-2</v>
      </c>
      <c r="L600" s="43">
        <v>53</v>
      </c>
      <c r="M600" s="25" t="s">
        <v>0</v>
      </c>
      <c r="N600" s="28"/>
      <c r="O600" s="28" t="s">
        <v>39</v>
      </c>
      <c r="P600" s="25" t="s">
        <v>20</v>
      </c>
    </row>
    <row r="601" spans="1:16" x14ac:dyDescent="0.25">
      <c r="A601" s="23">
        <f t="shared" si="36"/>
        <v>600</v>
      </c>
      <c r="B601" s="24">
        <v>43121</v>
      </c>
      <c r="C601" s="18" t="str">
        <f t="shared" si="37"/>
        <v>Sunday</v>
      </c>
      <c r="D601" s="10" t="str">
        <f t="shared" si="38"/>
        <v>Same</v>
      </c>
      <c r="E601" s="2">
        <v>26.47</v>
      </c>
      <c r="F601" s="2">
        <v>10</v>
      </c>
      <c r="G601" s="1">
        <f t="shared" si="39"/>
        <v>0.37778617302606726</v>
      </c>
      <c r="H601" s="2">
        <v>1.5</v>
      </c>
      <c r="I601" s="26">
        <v>0.75416666666666676</v>
      </c>
      <c r="J601" s="26">
        <v>0.77916666666666667</v>
      </c>
      <c r="K601" s="27">
        <f>Table3[[#This Row],[Delivery Time]]-Table3[[#This Row],[Order Time]]</f>
        <v>2.4999999999999911E-2</v>
      </c>
      <c r="L601" s="43">
        <v>36</v>
      </c>
      <c r="M601" s="25" t="s">
        <v>11</v>
      </c>
      <c r="N601" s="28"/>
      <c r="O601" s="28" t="s">
        <v>41</v>
      </c>
      <c r="P601" s="25" t="s">
        <v>20</v>
      </c>
    </row>
    <row r="602" spans="1:16" x14ac:dyDescent="0.25">
      <c r="A602" s="23">
        <f t="shared" si="36"/>
        <v>601</v>
      </c>
      <c r="B602" s="24">
        <v>43121</v>
      </c>
      <c r="C602" s="18" t="str">
        <f t="shared" si="37"/>
        <v>Sunday</v>
      </c>
      <c r="D602" s="10" t="str">
        <f t="shared" si="38"/>
        <v>Same</v>
      </c>
      <c r="E602" s="2">
        <v>22.41</v>
      </c>
      <c r="F602" s="2">
        <v>10</v>
      </c>
      <c r="G602" s="1">
        <f t="shared" si="39"/>
        <v>0.44622936189201251</v>
      </c>
      <c r="H602" s="2">
        <v>1.5</v>
      </c>
      <c r="I602" s="26">
        <v>0.76458333333333339</v>
      </c>
      <c r="J602" s="26">
        <v>0.7993055555555556</v>
      </c>
      <c r="K602" s="27">
        <f>Table3[[#This Row],[Delivery Time]]-Table3[[#This Row],[Order Time]]</f>
        <v>3.472222222222221E-2</v>
      </c>
      <c r="L602" s="43">
        <v>50</v>
      </c>
      <c r="M602" s="25" t="s">
        <v>0</v>
      </c>
      <c r="N602" s="28"/>
      <c r="O602" s="28" t="s">
        <v>41</v>
      </c>
      <c r="P602" s="25" t="s">
        <v>20</v>
      </c>
    </row>
    <row r="603" spans="1:16" x14ac:dyDescent="0.25">
      <c r="A603" s="23">
        <f t="shared" si="36"/>
        <v>602</v>
      </c>
      <c r="B603" s="24">
        <v>43121</v>
      </c>
      <c r="C603" s="18" t="str">
        <f t="shared" si="37"/>
        <v>Sunday</v>
      </c>
      <c r="D603" s="10" t="str">
        <f t="shared" si="38"/>
        <v>Same</v>
      </c>
      <c r="E603" s="2">
        <v>23.49</v>
      </c>
      <c r="F603" s="2">
        <v>6.51</v>
      </c>
      <c r="G603" s="1">
        <f t="shared" si="39"/>
        <v>0.27713920817369092</v>
      </c>
      <c r="H603" s="2">
        <v>1.5</v>
      </c>
      <c r="I603" s="26">
        <v>0.77777777777777779</v>
      </c>
      <c r="J603" s="26">
        <v>0.80763888888888891</v>
      </c>
      <c r="K603" s="27">
        <f>Table3[[#This Row],[Delivery Time]]-Table3[[#This Row],[Order Time]]</f>
        <v>2.9861111111111116E-2</v>
      </c>
      <c r="L603" s="43">
        <v>43</v>
      </c>
      <c r="M603" s="25" t="s">
        <v>0</v>
      </c>
      <c r="N603" s="28" t="s">
        <v>22</v>
      </c>
      <c r="O603" s="28" t="s">
        <v>39</v>
      </c>
      <c r="P603" s="25" t="s">
        <v>20</v>
      </c>
    </row>
    <row r="604" spans="1:16" x14ac:dyDescent="0.25">
      <c r="A604" s="23">
        <f t="shared" si="36"/>
        <v>603</v>
      </c>
      <c r="B604" s="24">
        <v>43121</v>
      </c>
      <c r="C604" s="18" t="str">
        <f t="shared" si="37"/>
        <v>Sunday</v>
      </c>
      <c r="D604" s="10" t="str">
        <f t="shared" si="38"/>
        <v>Same</v>
      </c>
      <c r="E604" s="2">
        <v>36.17</v>
      </c>
      <c r="F604" s="2">
        <v>5</v>
      </c>
      <c r="G604" s="1">
        <f t="shared" si="39"/>
        <v>0.13823610727121924</v>
      </c>
      <c r="H604" s="2">
        <v>7</v>
      </c>
      <c r="I604" s="26">
        <v>0.77777777777777779</v>
      </c>
      <c r="J604" s="26">
        <v>0.81527777777777777</v>
      </c>
      <c r="K604" s="27">
        <f>Table3[[#This Row],[Delivery Time]]-Table3[[#This Row],[Order Time]]</f>
        <v>3.7499999999999978E-2</v>
      </c>
      <c r="L604" s="43">
        <v>53.999999999999993</v>
      </c>
      <c r="M604" s="25" t="s">
        <v>0</v>
      </c>
      <c r="N604" s="28"/>
      <c r="O604" s="28" t="s">
        <v>39</v>
      </c>
      <c r="P604" s="25" t="s">
        <v>20</v>
      </c>
    </row>
    <row r="605" spans="1:16" x14ac:dyDescent="0.25">
      <c r="A605" s="23">
        <f t="shared" si="36"/>
        <v>604</v>
      </c>
      <c r="B605" s="24">
        <v>43121</v>
      </c>
      <c r="C605" s="18" t="str">
        <f t="shared" si="37"/>
        <v>Sunday</v>
      </c>
      <c r="D605" s="10" t="str">
        <f t="shared" si="38"/>
        <v>Same</v>
      </c>
      <c r="E605" s="2">
        <v>27.01</v>
      </c>
      <c r="F605" s="2">
        <v>3</v>
      </c>
      <c r="G605" s="1">
        <f t="shared" si="39"/>
        <v>0.11106997408367271</v>
      </c>
      <c r="H605" s="2">
        <v>1.5</v>
      </c>
      <c r="I605" s="26">
        <v>0.81388888888888899</v>
      </c>
      <c r="J605" s="26">
        <v>0.84097222222222223</v>
      </c>
      <c r="K605" s="27">
        <f>Table3[[#This Row],[Delivery Time]]-Table3[[#This Row],[Order Time]]</f>
        <v>2.7083333333333237E-2</v>
      </c>
      <c r="L605" s="43">
        <v>39</v>
      </c>
      <c r="M605" s="25" t="s">
        <v>0</v>
      </c>
      <c r="N605" s="28"/>
      <c r="O605" s="28" t="s">
        <v>39</v>
      </c>
      <c r="P605" s="25" t="s">
        <v>20</v>
      </c>
    </row>
    <row r="606" spans="1:16" x14ac:dyDescent="0.25">
      <c r="A606" s="23">
        <f t="shared" si="36"/>
        <v>605</v>
      </c>
      <c r="B606" s="24">
        <v>43121</v>
      </c>
      <c r="C606" s="18" t="str">
        <f t="shared" si="37"/>
        <v>Sunday</v>
      </c>
      <c r="D606" s="10" t="str">
        <f t="shared" si="38"/>
        <v>Same</v>
      </c>
      <c r="E606" s="2">
        <v>45.41</v>
      </c>
      <c r="F606" s="2">
        <v>5</v>
      </c>
      <c r="G606" s="1">
        <f t="shared" si="39"/>
        <v>0.11010790574763268</v>
      </c>
      <c r="H606" s="2">
        <v>1.5</v>
      </c>
      <c r="I606" s="26">
        <v>0.8208333333333333</v>
      </c>
      <c r="J606" s="26">
        <v>0.85138888888888886</v>
      </c>
      <c r="K606" s="27">
        <f>Table3[[#This Row],[Delivery Time]]-Table3[[#This Row],[Order Time]]</f>
        <v>3.0555555555555558E-2</v>
      </c>
      <c r="L606" s="43">
        <v>44</v>
      </c>
      <c r="M606" s="25" t="s">
        <v>0</v>
      </c>
      <c r="N606" s="28" t="s">
        <v>22</v>
      </c>
      <c r="O606" s="28" t="s">
        <v>39</v>
      </c>
      <c r="P606" s="25" t="s">
        <v>20</v>
      </c>
    </row>
    <row r="607" spans="1:16" x14ac:dyDescent="0.25">
      <c r="A607" s="23">
        <f t="shared" si="36"/>
        <v>606</v>
      </c>
      <c r="B607" s="24">
        <v>43126</v>
      </c>
      <c r="C607" s="18" t="str">
        <f t="shared" si="37"/>
        <v>Friday</v>
      </c>
      <c r="D607" s="10" t="str">
        <f t="shared" si="38"/>
        <v>Different</v>
      </c>
      <c r="E607" s="2">
        <v>35.36</v>
      </c>
      <c r="F607" s="2">
        <v>3</v>
      </c>
      <c r="G607" s="1">
        <f t="shared" si="39"/>
        <v>8.4841628959276022E-2</v>
      </c>
      <c r="H607" s="2">
        <v>1.5</v>
      </c>
      <c r="I607" s="26">
        <v>0.69861111111111107</v>
      </c>
      <c r="J607" s="26">
        <v>0.72083333333333333</v>
      </c>
      <c r="K607" s="27">
        <f>Table3[[#This Row],[Delivery Time]]-Table3[[#This Row],[Order Time]]</f>
        <v>2.2222222222222254E-2</v>
      </c>
      <c r="L607" s="43">
        <v>32</v>
      </c>
      <c r="M607" s="25" t="s">
        <v>11</v>
      </c>
      <c r="N607" s="28"/>
      <c r="O607" s="28" t="s">
        <v>39</v>
      </c>
      <c r="P607" s="25" t="s">
        <v>20</v>
      </c>
    </row>
    <row r="608" spans="1:16" x14ac:dyDescent="0.25">
      <c r="A608" s="23">
        <f t="shared" si="36"/>
        <v>607</v>
      </c>
      <c r="B608" s="24">
        <v>43126</v>
      </c>
      <c r="C608" s="18" t="str">
        <f t="shared" si="37"/>
        <v>Friday</v>
      </c>
      <c r="D608" s="10" t="str">
        <f t="shared" si="38"/>
        <v>Same</v>
      </c>
      <c r="E608" s="2">
        <v>42.38</v>
      </c>
      <c r="F608" s="2">
        <v>6</v>
      </c>
      <c r="G608" s="1">
        <f t="shared" si="39"/>
        <v>0.14157621519584709</v>
      </c>
      <c r="H608" s="2">
        <v>1.5</v>
      </c>
      <c r="I608" s="26">
        <v>0.72916666666666663</v>
      </c>
      <c r="J608" s="26">
        <v>0.72916666666666663</v>
      </c>
      <c r="K608" s="27">
        <f>Table3[[#This Row],[Delivery Time]]-Table3[[#This Row],[Order Time]]</f>
        <v>0</v>
      </c>
      <c r="L608" s="43">
        <v>0</v>
      </c>
      <c r="M608" s="25" t="s">
        <v>11</v>
      </c>
      <c r="N608" s="28"/>
      <c r="O608" s="28" t="s">
        <v>39</v>
      </c>
      <c r="P608" s="25" t="s">
        <v>16</v>
      </c>
    </row>
    <row r="609" spans="1:16" x14ac:dyDescent="0.25">
      <c r="A609" s="23">
        <f t="shared" si="36"/>
        <v>608</v>
      </c>
      <c r="B609" s="24">
        <v>43126</v>
      </c>
      <c r="C609" s="18" t="str">
        <f t="shared" si="37"/>
        <v>Friday</v>
      </c>
      <c r="D609" s="10" t="str">
        <f t="shared" si="38"/>
        <v>Same</v>
      </c>
      <c r="E609" s="2">
        <v>35.340000000000003</v>
      </c>
      <c r="F609" s="2">
        <v>4</v>
      </c>
      <c r="G609" s="1">
        <f t="shared" si="39"/>
        <v>0.11318619128466326</v>
      </c>
      <c r="H609" s="2">
        <v>1.5</v>
      </c>
      <c r="I609" s="26">
        <v>0.7368055555555556</v>
      </c>
      <c r="J609" s="26">
        <v>0.76736111111111116</v>
      </c>
      <c r="K609" s="27">
        <f>Table3[[#This Row],[Delivery Time]]-Table3[[#This Row],[Order Time]]</f>
        <v>3.0555555555555558E-2</v>
      </c>
      <c r="L609" s="43">
        <v>44</v>
      </c>
      <c r="M609" s="25" t="s">
        <v>11</v>
      </c>
      <c r="N609" s="28"/>
      <c r="O609" s="28" t="s">
        <v>39</v>
      </c>
      <c r="P609" s="25" t="s">
        <v>20</v>
      </c>
    </row>
    <row r="610" spans="1:16" x14ac:dyDescent="0.25">
      <c r="A610" s="23">
        <f t="shared" si="36"/>
        <v>609</v>
      </c>
      <c r="B610" s="24">
        <v>43126</v>
      </c>
      <c r="C610" s="18" t="str">
        <f t="shared" si="37"/>
        <v>Friday</v>
      </c>
      <c r="D610" s="10" t="str">
        <f t="shared" si="38"/>
        <v>Same</v>
      </c>
      <c r="E610" s="2">
        <v>127.79</v>
      </c>
      <c r="F610" s="2">
        <v>25</v>
      </c>
      <c r="G610" s="1">
        <f t="shared" si="39"/>
        <v>0.1956334611471946</v>
      </c>
      <c r="H610" s="2">
        <v>1.5</v>
      </c>
      <c r="I610" s="26">
        <v>0.74444444444444446</v>
      </c>
      <c r="J610" s="26">
        <v>0.77638888888888891</v>
      </c>
      <c r="K610" s="27">
        <f>Table3[[#This Row],[Delivery Time]]-Table3[[#This Row],[Order Time]]</f>
        <v>3.1944444444444442E-2</v>
      </c>
      <c r="L610" s="43">
        <v>46.000000000000007</v>
      </c>
      <c r="M610" s="25" t="s">
        <v>11</v>
      </c>
      <c r="N610" s="28"/>
      <c r="O610" s="28" t="s">
        <v>42</v>
      </c>
      <c r="P610" s="25" t="s">
        <v>20</v>
      </c>
    </row>
    <row r="611" spans="1:16" x14ac:dyDescent="0.25">
      <c r="A611" s="23">
        <f t="shared" si="36"/>
        <v>610</v>
      </c>
      <c r="B611" s="24">
        <v>43126</v>
      </c>
      <c r="C611" s="18" t="str">
        <f t="shared" si="37"/>
        <v>Friday</v>
      </c>
      <c r="D611" s="10" t="str">
        <f t="shared" si="38"/>
        <v>Same</v>
      </c>
      <c r="E611" s="2">
        <v>33.229999999999997</v>
      </c>
      <c r="F611" s="2">
        <v>5</v>
      </c>
      <c r="G611" s="1">
        <f t="shared" si="39"/>
        <v>0.15046644598254591</v>
      </c>
      <c r="H611" s="2">
        <v>1.5</v>
      </c>
      <c r="I611" s="26">
        <v>0.76874999999999993</v>
      </c>
      <c r="J611" s="26">
        <v>0.79513888888888884</v>
      </c>
      <c r="K611" s="27">
        <f>Table3[[#This Row],[Delivery Time]]-Table3[[#This Row],[Order Time]]</f>
        <v>2.6388888888888906E-2</v>
      </c>
      <c r="L611" s="43">
        <v>38</v>
      </c>
      <c r="M611" s="25" t="s">
        <v>11</v>
      </c>
      <c r="N611" s="28"/>
      <c r="O611" s="28" t="s">
        <v>41</v>
      </c>
      <c r="P611" s="25" t="s">
        <v>20</v>
      </c>
    </row>
    <row r="612" spans="1:16" x14ac:dyDescent="0.25">
      <c r="A612" s="23">
        <f t="shared" si="36"/>
        <v>611</v>
      </c>
      <c r="B612" s="24">
        <v>43126</v>
      </c>
      <c r="C612" s="18" t="str">
        <f t="shared" si="37"/>
        <v>Friday</v>
      </c>
      <c r="D612" s="10" t="str">
        <f t="shared" si="38"/>
        <v>Same</v>
      </c>
      <c r="E612" s="2">
        <v>40.85</v>
      </c>
      <c r="F612" s="2">
        <v>8.5</v>
      </c>
      <c r="G612" s="1">
        <f t="shared" si="39"/>
        <v>0.20807833537331702</v>
      </c>
      <c r="H612" s="2">
        <v>1.5</v>
      </c>
      <c r="I612" s="26">
        <v>0.80763888888888891</v>
      </c>
      <c r="J612" s="26">
        <v>0.83124999999999993</v>
      </c>
      <c r="K612" s="27">
        <f>Table3[[#This Row],[Delivery Time]]-Table3[[#This Row],[Order Time]]</f>
        <v>2.3611111111111027E-2</v>
      </c>
      <c r="L612" s="43">
        <v>34</v>
      </c>
      <c r="M612" s="25" t="s">
        <v>0</v>
      </c>
      <c r="N612" s="28" t="s">
        <v>22</v>
      </c>
      <c r="O612" s="28" t="s">
        <v>39</v>
      </c>
      <c r="P612" s="25" t="s">
        <v>20</v>
      </c>
    </row>
    <row r="613" spans="1:16" x14ac:dyDescent="0.25">
      <c r="A613" s="23">
        <f t="shared" si="36"/>
        <v>612</v>
      </c>
      <c r="B613" s="24">
        <v>43126</v>
      </c>
      <c r="C613" s="18" t="str">
        <f t="shared" si="37"/>
        <v>Friday</v>
      </c>
      <c r="D613" s="10" t="str">
        <f t="shared" si="38"/>
        <v>Same</v>
      </c>
      <c r="E613" s="2">
        <v>16.78</v>
      </c>
      <c r="F613" s="2">
        <v>3</v>
      </c>
      <c r="G613" s="1">
        <f t="shared" si="39"/>
        <v>0.17878426698450536</v>
      </c>
      <c r="H613" s="2">
        <v>1.5</v>
      </c>
      <c r="I613" s="26">
        <v>0.80902777777777779</v>
      </c>
      <c r="J613" s="26">
        <v>0.83750000000000002</v>
      </c>
      <c r="K613" s="27">
        <f>Table3[[#This Row],[Delivery Time]]-Table3[[#This Row],[Order Time]]</f>
        <v>2.8472222222222232E-2</v>
      </c>
      <c r="L613" s="43">
        <v>41</v>
      </c>
      <c r="M613" s="25" t="s">
        <v>0</v>
      </c>
      <c r="N613" s="28" t="s">
        <v>26</v>
      </c>
      <c r="O613" s="28" t="s">
        <v>39</v>
      </c>
      <c r="P613" s="25" t="s">
        <v>20</v>
      </c>
    </row>
    <row r="614" spans="1:16" x14ac:dyDescent="0.25">
      <c r="A614" s="23">
        <f t="shared" si="36"/>
        <v>613</v>
      </c>
      <c r="B614" s="24">
        <v>43127</v>
      </c>
      <c r="C614" s="18" t="str">
        <f t="shared" si="37"/>
        <v>Saturday</v>
      </c>
      <c r="D614" s="10" t="str">
        <f t="shared" si="38"/>
        <v>Different</v>
      </c>
      <c r="E614" s="2">
        <v>19.489999999999998</v>
      </c>
      <c r="F614" s="2">
        <v>3</v>
      </c>
      <c r="G614" s="1">
        <f t="shared" si="39"/>
        <v>0.15392508978963573</v>
      </c>
      <c r="H614" s="2">
        <v>1.5</v>
      </c>
      <c r="I614" s="26">
        <v>0.73541666666666661</v>
      </c>
      <c r="J614" s="26">
        <v>0.74791666666666667</v>
      </c>
      <c r="K614" s="27">
        <f>Table3[[#This Row],[Delivery Time]]-Table3[[#This Row],[Order Time]]</f>
        <v>1.2500000000000067E-2</v>
      </c>
      <c r="L614" s="43">
        <v>18</v>
      </c>
      <c r="M614" s="25" t="s">
        <v>0</v>
      </c>
      <c r="N614" s="28"/>
      <c r="O614" s="28" t="s">
        <v>41</v>
      </c>
      <c r="P614" s="25" t="s">
        <v>20</v>
      </c>
    </row>
    <row r="615" spans="1:16" x14ac:dyDescent="0.25">
      <c r="A615" s="23">
        <f t="shared" si="36"/>
        <v>614</v>
      </c>
      <c r="B615" s="24">
        <v>43127</v>
      </c>
      <c r="C615" s="18" t="str">
        <f t="shared" si="37"/>
        <v>Saturday</v>
      </c>
      <c r="D615" s="10" t="str">
        <f t="shared" si="38"/>
        <v>Same</v>
      </c>
      <c r="E615" s="2">
        <v>57.59</v>
      </c>
      <c r="F615" s="2">
        <v>5</v>
      </c>
      <c r="G615" s="1">
        <f t="shared" si="39"/>
        <v>8.6820628581350923E-2</v>
      </c>
      <c r="H615" s="2">
        <v>1.5</v>
      </c>
      <c r="I615" s="26">
        <v>0.77361111111111114</v>
      </c>
      <c r="J615" s="26">
        <v>0.79583333333333339</v>
      </c>
      <c r="K615" s="27">
        <f>Table3[[#This Row],[Delivery Time]]-Table3[[#This Row],[Order Time]]</f>
        <v>2.2222222222222254E-2</v>
      </c>
      <c r="L615" s="43">
        <v>32</v>
      </c>
      <c r="M615" s="25" t="s">
        <v>0</v>
      </c>
      <c r="N615" s="28" t="s">
        <v>25</v>
      </c>
      <c r="O615" s="28" t="s">
        <v>39</v>
      </c>
      <c r="P615" s="25" t="s">
        <v>20</v>
      </c>
    </row>
    <row r="616" spans="1:16" x14ac:dyDescent="0.25">
      <c r="A616" s="23">
        <f t="shared" si="36"/>
        <v>615</v>
      </c>
      <c r="B616" s="24">
        <v>43127</v>
      </c>
      <c r="C616" s="18" t="str">
        <f t="shared" si="37"/>
        <v>Saturday</v>
      </c>
      <c r="D616" s="10" t="str">
        <f t="shared" si="38"/>
        <v>Same</v>
      </c>
      <c r="E616" s="2">
        <v>31.88</v>
      </c>
      <c r="F616" s="2">
        <v>5</v>
      </c>
      <c r="G616" s="1">
        <f t="shared" si="39"/>
        <v>0.15683814303638646</v>
      </c>
      <c r="H616" s="2">
        <v>1.5</v>
      </c>
      <c r="I616" s="26">
        <v>0.77361111111111114</v>
      </c>
      <c r="J616" s="26">
        <v>0.80486111111111114</v>
      </c>
      <c r="K616" s="27">
        <f>Table3[[#This Row],[Delivery Time]]-Table3[[#This Row],[Order Time]]</f>
        <v>3.125E-2</v>
      </c>
      <c r="L616" s="43">
        <v>45</v>
      </c>
      <c r="M616" s="25" t="s">
        <v>0</v>
      </c>
      <c r="N616" s="28"/>
      <c r="O616" s="28" t="s">
        <v>39</v>
      </c>
      <c r="P616" s="25" t="s">
        <v>20</v>
      </c>
    </row>
    <row r="617" spans="1:16" x14ac:dyDescent="0.25">
      <c r="A617" s="23">
        <f t="shared" si="36"/>
        <v>616</v>
      </c>
      <c r="B617" s="24">
        <v>43128</v>
      </c>
      <c r="C617" s="18" t="str">
        <f t="shared" si="37"/>
        <v>Sunday</v>
      </c>
      <c r="D617" s="10" t="str">
        <f t="shared" si="38"/>
        <v>Different</v>
      </c>
      <c r="E617" s="2">
        <v>47.63</v>
      </c>
      <c r="F617" s="2">
        <v>9</v>
      </c>
      <c r="G617" s="1">
        <f t="shared" si="39"/>
        <v>0.18895653999580095</v>
      </c>
      <c r="H617" s="2">
        <v>1.5</v>
      </c>
      <c r="I617" s="26">
        <v>0.72152777777777777</v>
      </c>
      <c r="J617" s="26">
        <v>0.75277777777777777</v>
      </c>
      <c r="K617" s="27">
        <f>Table3[[#This Row],[Delivery Time]]-Table3[[#This Row],[Order Time]]</f>
        <v>3.125E-2</v>
      </c>
      <c r="L617" s="43">
        <v>45</v>
      </c>
      <c r="M617" s="25" t="s">
        <v>11</v>
      </c>
      <c r="N617" s="28"/>
      <c r="O617" s="28" t="s">
        <v>39</v>
      </c>
      <c r="P617" s="25" t="s">
        <v>20</v>
      </c>
    </row>
    <row r="618" spans="1:16" x14ac:dyDescent="0.25">
      <c r="A618" s="23">
        <f t="shared" si="36"/>
        <v>617</v>
      </c>
      <c r="B618" s="24">
        <v>43128</v>
      </c>
      <c r="C618" s="18" t="str">
        <f t="shared" si="37"/>
        <v>Sunday</v>
      </c>
      <c r="D618" s="10" t="str">
        <f t="shared" si="38"/>
        <v>Same</v>
      </c>
      <c r="E618" s="2">
        <v>14.61</v>
      </c>
      <c r="F618" s="2">
        <v>6.39</v>
      </c>
      <c r="G618" s="1">
        <f t="shared" si="39"/>
        <v>0.43737166324435317</v>
      </c>
      <c r="H618" s="2">
        <v>1.5</v>
      </c>
      <c r="I618" s="26">
        <v>0.72986111111111107</v>
      </c>
      <c r="J618" s="26">
        <v>0.75902777777777775</v>
      </c>
      <c r="K618" s="27">
        <f>Table3[[#This Row],[Delivery Time]]-Table3[[#This Row],[Order Time]]</f>
        <v>2.9166666666666674E-2</v>
      </c>
      <c r="L618" s="43">
        <v>42</v>
      </c>
      <c r="M618" s="25" t="s">
        <v>11</v>
      </c>
      <c r="N618" s="28"/>
      <c r="O618" s="28" t="s">
        <v>39</v>
      </c>
      <c r="P618" s="25" t="s">
        <v>20</v>
      </c>
    </row>
    <row r="619" spans="1:16" x14ac:dyDescent="0.25">
      <c r="A619" s="23">
        <f t="shared" si="36"/>
        <v>618</v>
      </c>
      <c r="B619" s="24">
        <v>43128</v>
      </c>
      <c r="C619" s="18" t="str">
        <f t="shared" si="37"/>
        <v>Sunday</v>
      </c>
      <c r="D619" s="10" t="str">
        <f t="shared" si="38"/>
        <v>Same</v>
      </c>
      <c r="E619" s="2">
        <v>85.14</v>
      </c>
      <c r="F619" s="2">
        <v>10</v>
      </c>
      <c r="G619" s="1">
        <f t="shared" si="39"/>
        <v>0.11745360582569885</v>
      </c>
      <c r="H619" s="2">
        <v>5</v>
      </c>
      <c r="I619" s="26">
        <v>0.73263888888888884</v>
      </c>
      <c r="J619" s="26">
        <v>0.76874999999999993</v>
      </c>
      <c r="K619" s="27">
        <f>Table3[[#This Row],[Delivery Time]]-Table3[[#This Row],[Order Time]]</f>
        <v>3.6111111111111094E-2</v>
      </c>
      <c r="L619" s="43">
        <v>52</v>
      </c>
      <c r="M619" s="25" t="s">
        <v>1</v>
      </c>
      <c r="N619" s="28"/>
      <c r="O619" s="28" t="s">
        <v>39</v>
      </c>
      <c r="P619" s="25" t="s">
        <v>20</v>
      </c>
    </row>
    <row r="620" spans="1:16" x14ac:dyDescent="0.25">
      <c r="A620" s="23">
        <f t="shared" si="36"/>
        <v>619</v>
      </c>
      <c r="B620" s="24">
        <v>43128</v>
      </c>
      <c r="C620" s="18" t="str">
        <f t="shared" si="37"/>
        <v>Sunday</v>
      </c>
      <c r="D620" s="10" t="str">
        <f t="shared" si="38"/>
        <v>Same</v>
      </c>
      <c r="E620" s="2">
        <v>43.79</v>
      </c>
      <c r="F620" s="2">
        <v>5</v>
      </c>
      <c r="G620" s="1">
        <f t="shared" si="39"/>
        <v>0.11418131993605846</v>
      </c>
      <c r="H620" s="2">
        <v>1.5</v>
      </c>
      <c r="I620" s="26">
        <v>0.7597222222222223</v>
      </c>
      <c r="J620" s="26">
        <v>0.79791666666666661</v>
      </c>
      <c r="K620" s="27">
        <f>Table3[[#This Row],[Delivery Time]]-Table3[[#This Row],[Order Time]]</f>
        <v>3.8194444444444309E-2</v>
      </c>
      <c r="L620" s="43">
        <v>54.999999999999993</v>
      </c>
      <c r="M620" s="25" t="s">
        <v>0</v>
      </c>
      <c r="N620" s="28"/>
      <c r="O620" s="28" t="s">
        <v>39</v>
      </c>
      <c r="P620" s="25" t="s">
        <v>20</v>
      </c>
    </row>
    <row r="621" spans="1:16" x14ac:dyDescent="0.25">
      <c r="A621" s="23">
        <f t="shared" si="36"/>
        <v>620</v>
      </c>
      <c r="B621" s="24">
        <v>43128</v>
      </c>
      <c r="C621" s="18" t="str">
        <f t="shared" si="37"/>
        <v>Sunday</v>
      </c>
      <c r="D621" s="10" t="str">
        <f t="shared" si="38"/>
        <v>Same</v>
      </c>
      <c r="E621" s="2">
        <v>43.19</v>
      </c>
      <c r="F621" s="2">
        <v>8</v>
      </c>
      <c r="G621" s="1">
        <f t="shared" si="39"/>
        <v>0.1852280620514008</v>
      </c>
      <c r="H621" s="2">
        <v>1.5</v>
      </c>
      <c r="I621" s="26">
        <v>0.76666666666666661</v>
      </c>
      <c r="J621" s="26">
        <v>0.80625000000000002</v>
      </c>
      <c r="K621" s="27">
        <f>Table3[[#This Row],[Delivery Time]]-Table3[[#This Row],[Order Time]]</f>
        <v>3.9583333333333415E-2</v>
      </c>
      <c r="L621" s="43">
        <v>57</v>
      </c>
      <c r="M621" s="25" t="s">
        <v>12</v>
      </c>
      <c r="N621" s="28"/>
      <c r="O621" s="28" t="s">
        <v>39</v>
      </c>
      <c r="P621" s="25" t="s">
        <v>20</v>
      </c>
    </row>
    <row r="622" spans="1:16" x14ac:dyDescent="0.25">
      <c r="A622" s="23">
        <f t="shared" si="36"/>
        <v>621</v>
      </c>
      <c r="B622" s="24">
        <v>43128</v>
      </c>
      <c r="C622" s="18" t="str">
        <f t="shared" si="37"/>
        <v>Sunday</v>
      </c>
      <c r="D622" s="10" t="str">
        <f t="shared" si="38"/>
        <v>Same</v>
      </c>
      <c r="E622" s="2">
        <v>32.369999999999997</v>
      </c>
      <c r="F622" s="2">
        <v>5</v>
      </c>
      <c r="G622" s="1">
        <f t="shared" si="39"/>
        <v>0.15446400988569664</v>
      </c>
      <c r="H622" s="2">
        <v>1.5</v>
      </c>
      <c r="I622" s="26">
        <v>0.79722222222222217</v>
      </c>
      <c r="J622" s="26">
        <v>0.82708333333333339</v>
      </c>
      <c r="K622" s="27">
        <f>Table3[[#This Row],[Delivery Time]]-Table3[[#This Row],[Order Time]]</f>
        <v>2.9861111111111227E-2</v>
      </c>
      <c r="L622" s="43">
        <v>43</v>
      </c>
      <c r="M622" s="25" t="s">
        <v>11</v>
      </c>
      <c r="N622" s="28"/>
      <c r="O622" s="28" t="s">
        <v>41</v>
      </c>
      <c r="P622" s="25" t="s">
        <v>20</v>
      </c>
    </row>
    <row r="623" spans="1:16" x14ac:dyDescent="0.25">
      <c r="A623" s="23">
        <f t="shared" si="36"/>
        <v>622</v>
      </c>
      <c r="B623" s="24">
        <v>43128</v>
      </c>
      <c r="C623" s="18" t="str">
        <f t="shared" si="37"/>
        <v>Sunday</v>
      </c>
      <c r="D623" s="10" t="str">
        <f t="shared" si="38"/>
        <v>Same</v>
      </c>
      <c r="E623" s="2">
        <v>33.020000000000003</v>
      </c>
      <c r="F623" s="2">
        <v>6</v>
      </c>
      <c r="G623" s="1">
        <f t="shared" si="39"/>
        <v>0.18170805572380375</v>
      </c>
      <c r="H623" s="2">
        <v>1.5</v>
      </c>
      <c r="I623" s="26">
        <v>0.81111111111111101</v>
      </c>
      <c r="J623" s="26">
        <v>0.83958333333333324</v>
      </c>
      <c r="K623" s="27">
        <f>Table3[[#This Row],[Delivery Time]]-Table3[[#This Row],[Order Time]]</f>
        <v>2.8472222222222232E-2</v>
      </c>
      <c r="L623" s="43">
        <v>41</v>
      </c>
      <c r="M623" s="25" t="s">
        <v>11</v>
      </c>
      <c r="N623" s="28"/>
      <c r="O623" s="28" t="s">
        <v>40</v>
      </c>
      <c r="P623" s="25" t="s">
        <v>20</v>
      </c>
    </row>
    <row r="624" spans="1:16" x14ac:dyDescent="0.25">
      <c r="A624" s="23">
        <f t="shared" si="36"/>
        <v>623</v>
      </c>
      <c r="B624" s="24">
        <v>43128</v>
      </c>
      <c r="C624" s="18" t="str">
        <f t="shared" si="37"/>
        <v>Sunday</v>
      </c>
      <c r="D624" s="10" t="str">
        <f t="shared" si="38"/>
        <v>Same</v>
      </c>
      <c r="E624" s="2">
        <v>20.78</v>
      </c>
      <c r="F624" s="2">
        <v>5</v>
      </c>
      <c r="G624" s="1">
        <f t="shared" si="39"/>
        <v>0.2406159769008662</v>
      </c>
      <c r="H624" s="2">
        <v>1.5</v>
      </c>
      <c r="I624" s="26">
        <v>0.83958333333333324</v>
      </c>
      <c r="J624" s="26">
        <v>0.86597222222222225</v>
      </c>
      <c r="K624" s="27">
        <f>Table3[[#This Row],[Delivery Time]]-Table3[[#This Row],[Order Time]]</f>
        <v>2.6388888888889017E-2</v>
      </c>
      <c r="L624" s="43">
        <v>38</v>
      </c>
      <c r="M624" s="25" t="s">
        <v>0</v>
      </c>
      <c r="N624" s="28"/>
      <c r="O624" s="28" t="s">
        <v>41</v>
      </c>
      <c r="P624" s="25" t="s">
        <v>20</v>
      </c>
    </row>
    <row r="625" spans="1:16" x14ac:dyDescent="0.25">
      <c r="A625" s="23">
        <f t="shared" si="36"/>
        <v>624</v>
      </c>
      <c r="B625" s="24">
        <v>43128</v>
      </c>
      <c r="C625" s="18" t="str">
        <f t="shared" si="37"/>
        <v>Sunday</v>
      </c>
      <c r="D625" s="10" t="str">
        <f t="shared" si="38"/>
        <v>Same</v>
      </c>
      <c r="E625" s="2">
        <v>41.84</v>
      </c>
      <c r="F625" s="2">
        <v>8</v>
      </c>
      <c r="G625" s="1">
        <f t="shared" si="39"/>
        <v>0.19120458891013384</v>
      </c>
      <c r="H625" s="2">
        <v>1.5</v>
      </c>
      <c r="I625" s="26">
        <v>0.85</v>
      </c>
      <c r="J625" s="26">
        <v>0.87291666666666667</v>
      </c>
      <c r="K625" s="27">
        <f>Table3[[#This Row],[Delivery Time]]-Table3[[#This Row],[Order Time]]</f>
        <v>2.2916666666666696E-2</v>
      </c>
      <c r="L625" s="43">
        <v>33</v>
      </c>
      <c r="M625" s="25" t="s">
        <v>11</v>
      </c>
      <c r="N625" s="28"/>
      <c r="O625" s="28" t="s">
        <v>39</v>
      </c>
      <c r="P625" s="25" t="s">
        <v>20</v>
      </c>
    </row>
    <row r="626" spans="1:16" x14ac:dyDescent="0.25">
      <c r="A626" s="23">
        <f t="shared" si="36"/>
        <v>625</v>
      </c>
      <c r="B626" s="24">
        <v>43128</v>
      </c>
      <c r="C626" s="18" t="str">
        <f t="shared" si="37"/>
        <v>Sunday</v>
      </c>
      <c r="D626" s="10" t="str">
        <f t="shared" si="38"/>
        <v>Same</v>
      </c>
      <c r="E626" s="2">
        <v>33.020000000000003</v>
      </c>
      <c r="F626" s="2">
        <v>4</v>
      </c>
      <c r="G626" s="1">
        <f t="shared" si="39"/>
        <v>0.12113870381586916</v>
      </c>
      <c r="H626" s="2">
        <v>5</v>
      </c>
      <c r="I626" s="26">
        <v>0.84722222222222221</v>
      </c>
      <c r="J626" s="26">
        <v>0.88055555555555554</v>
      </c>
      <c r="K626" s="27">
        <f>Table3[[#This Row],[Delivery Time]]-Table3[[#This Row],[Order Time]]</f>
        <v>3.3333333333333326E-2</v>
      </c>
      <c r="L626" s="43">
        <v>48</v>
      </c>
      <c r="M626" s="25" t="s">
        <v>11</v>
      </c>
      <c r="N626" s="28"/>
      <c r="O626" s="28" t="s">
        <v>39</v>
      </c>
      <c r="P626" s="25" t="s">
        <v>20</v>
      </c>
    </row>
    <row r="627" spans="1:16" x14ac:dyDescent="0.25">
      <c r="A627" s="23">
        <f t="shared" si="36"/>
        <v>626</v>
      </c>
      <c r="B627" s="24">
        <v>43129</v>
      </c>
      <c r="C627" s="18" t="str">
        <f t="shared" si="37"/>
        <v>Monday</v>
      </c>
      <c r="D627" s="10" t="str">
        <f t="shared" si="38"/>
        <v>Different</v>
      </c>
      <c r="E627" s="2">
        <v>43.73</v>
      </c>
      <c r="F627" s="2">
        <v>6</v>
      </c>
      <c r="G627" s="1">
        <f t="shared" si="39"/>
        <v>0.13720557969357422</v>
      </c>
      <c r="H627" s="2">
        <v>1.5</v>
      </c>
      <c r="I627" s="26">
        <v>0.7402777777777777</v>
      </c>
      <c r="J627" s="26">
        <v>0.77708333333333324</v>
      </c>
      <c r="K627" s="27">
        <f>Table3[[#This Row],[Delivery Time]]-Table3[[#This Row],[Order Time]]</f>
        <v>3.6805555555555536E-2</v>
      </c>
      <c r="L627" s="43">
        <v>53</v>
      </c>
      <c r="M627" s="25" t="s">
        <v>11</v>
      </c>
      <c r="N627" s="28"/>
      <c r="O627" s="28" t="s">
        <v>39</v>
      </c>
      <c r="P627" s="25" t="s">
        <v>20</v>
      </c>
    </row>
    <row r="628" spans="1:16" x14ac:dyDescent="0.25">
      <c r="A628" s="23">
        <f t="shared" si="36"/>
        <v>627</v>
      </c>
      <c r="B628" s="24">
        <v>43129</v>
      </c>
      <c r="C628" s="18" t="str">
        <f t="shared" si="37"/>
        <v>Monday</v>
      </c>
      <c r="D628" s="10" t="str">
        <f t="shared" si="38"/>
        <v>Same</v>
      </c>
      <c r="E628" s="2">
        <v>40.270000000000003</v>
      </c>
      <c r="F628" s="2">
        <v>7</v>
      </c>
      <c r="G628" s="1">
        <f t="shared" si="39"/>
        <v>0.17382666997765084</v>
      </c>
      <c r="H628" s="2">
        <v>5</v>
      </c>
      <c r="I628" s="26">
        <v>0.75555555555555554</v>
      </c>
      <c r="J628" s="26">
        <v>0.78402777777777777</v>
      </c>
      <c r="K628" s="27">
        <f>Table3[[#This Row],[Delivery Time]]-Table3[[#This Row],[Order Time]]</f>
        <v>2.8472222222222232E-2</v>
      </c>
      <c r="L628" s="43">
        <v>41</v>
      </c>
      <c r="M628" s="25" t="s">
        <v>11</v>
      </c>
      <c r="N628" s="28"/>
      <c r="O628" s="28" t="s">
        <v>39</v>
      </c>
      <c r="P628" s="25" t="s">
        <v>20</v>
      </c>
    </row>
    <row r="629" spans="1:16" x14ac:dyDescent="0.25">
      <c r="A629" s="23">
        <f t="shared" si="36"/>
        <v>628</v>
      </c>
      <c r="B629" s="24">
        <v>43129</v>
      </c>
      <c r="C629" s="18" t="str">
        <f t="shared" si="37"/>
        <v>Monday</v>
      </c>
      <c r="D629" s="10" t="str">
        <f t="shared" si="38"/>
        <v>Same</v>
      </c>
      <c r="E629" s="2">
        <v>18.350000000000001</v>
      </c>
      <c r="F629" s="2">
        <v>2</v>
      </c>
      <c r="G629" s="1">
        <f t="shared" si="39"/>
        <v>0.108991825613079</v>
      </c>
      <c r="H629" s="2">
        <v>1.5</v>
      </c>
      <c r="I629" s="26">
        <v>0.78055555555555556</v>
      </c>
      <c r="J629" s="26">
        <v>0.81041666666666667</v>
      </c>
      <c r="K629" s="27">
        <f>Table3[[#This Row],[Delivery Time]]-Table3[[#This Row],[Order Time]]</f>
        <v>2.9861111111111116E-2</v>
      </c>
      <c r="L629" s="43">
        <v>43</v>
      </c>
      <c r="M629" s="25" t="s">
        <v>0</v>
      </c>
      <c r="N629" s="28"/>
      <c r="O629" s="28" t="s">
        <v>39</v>
      </c>
      <c r="P629" s="25" t="s">
        <v>20</v>
      </c>
    </row>
    <row r="630" spans="1:16" x14ac:dyDescent="0.25">
      <c r="A630" s="23">
        <f t="shared" si="36"/>
        <v>629</v>
      </c>
      <c r="B630" s="24">
        <v>43129</v>
      </c>
      <c r="C630" s="18" t="str">
        <f t="shared" si="37"/>
        <v>Monday</v>
      </c>
      <c r="D630" s="10" t="str">
        <f t="shared" si="38"/>
        <v>Same</v>
      </c>
      <c r="E630" s="2">
        <v>12.18</v>
      </c>
      <c r="F630" s="2">
        <v>2</v>
      </c>
      <c r="G630" s="1">
        <f t="shared" si="39"/>
        <v>0.16420361247947454</v>
      </c>
      <c r="H630" s="2">
        <v>1.5</v>
      </c>
      <c r="I630" s="26">
        <v>0.78819444444444453</v>
      </c>
      <c r="J630" s="26">
        <v>0.82986111111111116</v>
      </c>
      <c r="K630" s="27">
        <f>Table3[[#This Row],[Delivery Time]]-Table3[[#This Row],[Order Time]]</f>
        <v>4.166666666666663E-2</v>
      </c>
      <c r="L630" s="43">
        <v>60</v>
      </c>
      <c r="M630" s="25" t="s">
        <v>11</v>
      </c>
      <c r="N630" s="28"/>
      <c r="O630" s="28" t="s">
        <v>40</v>
      </c>
      <c r="P630" s="25" t="s">
        <v>20</v>
      </c>
    </row>
    <row r="631" spans="1:16" x14ac:dyDescent="0.25">
      <c r="A631" s="23">
        <f t="shared" si="36"/>
        <v>630</v>
      </c>
      <c r="B631" s="24">
        <v>43129</v>
      </c>
      <c r="C631" s="18" t="str">
        <f t="shared" si="37"/>
        <v>Monday</v>
      </c>
      <c r="D631" s="10" t="str">
        <f t="shared" si="38"/>
        <v>Same</v>
      </c>
      <c r="E631" s="2">
        <v>35.4</v>
      </c>
      <c r="F631" s="2">
        <v>7.6</v>
      </c>
      <c r="G631" s="1">
        <f t="shared" si="39"/>
        <v>0.21468926553672316</v>
      </c>
      <c r="H631" s="2">
        <v>1.5</v>
      </c>
      <c r="I631" s="26">
        <v>0.7909722222222223</v>
      </c>
      <c r="J631" s="26">
        <v>0.83611111111111114</v>
      </c>
      <c r="K631" s="27">
        <f>Table3[[#This Row],[Delivery Time]]-Table3[[#This Row],[Order Time]]</f>
        <v>4.513888888888884E-2</v>
      </c>
      <c r="L631" s="43">
        <v>65</v>
      </c>
      <c r="M631" s="25" t="s">
        <v>11</v>
      </c>
      <c r="N631" s="28"/>
      <c r="O631" s="28" t="s">
        <v>39</v>
      </c>
      <c r="P631" s="25" t="s">
        <v>20</v>
      </c>
    </row>
    <row r="632" spans="1:16" x14ac:dyDescent="0.25">
      <c r="A632" s="23">
        <f t="shared" si="36"/>
        <v>631</v>
      </c>
      <c r="B632" s="24">
        <v>43129</v>
      </c>
      <c r="C632" s="18" t="str">
        <f t="shared" si="37"/>
        <v>Monday</v>
      </c>
      <c r="D632" s="10" t="str">
        <f t="shared" si="38"/>
        <v>Same</v>
      </c>
      <c r="E632" s="2">
        <v>21.05</v>
      </c>
      <c r="F632" s="2">
        <v>3</v>
      </c>
      <c r="G632" s="1">
        <f t="shared" si="39"/>
        <v>0.14251781472684086</v>
      </c>
      <c r="H632" s="2">
        <v>1.5</v>
      </c>
      <c r="I632" s="26">
        <v>0.83333333333333337</v>
      </c>
      <c r="J632" s="26">
        <v>0.85486111111111107</v>
      </c>
      <c r="K632" s="27">
        <f>Table3[[#This Row],[Delivery Time]]-Table3[[#This Row],[Order Time]]</f>
        <v>2.1527777777777701E-2</v>
      </c>
      <c r="L632" s="43">
        <v>31.000000000000004</v>
      </c>
      <c r="M632" s="25" t="s">
        <v>11</v>
      </c>
      <c r="N632" s="28"/>
      <c r="O632" s="28" t="s">
        <v>39</v>
      </c>
      <c r="P632" s="25" t="s">
        <v>20</v>
      </c>
    </row>
    <row r="633" spans="1:16" x14ac:dyDescent="0.25">
      <c r="A633" s="23">
        <f t="shared" si="36"/>
        <v>632</v>
      </c>
      <c r="B633" s="24">
        <v>43133</v>
      </c>
      <c r="C633" s="18" t="str">
        <f t="shared" si="37"/>
        <v>Friday</v>
      </c>
      <c r="D633" s="10" t="str">
        <f t="shared" si="38"/>
        <v>Different</v>
      </c>
      <c r="E633" s="2">
        <v>22.68</v>
      </c>
      <c r="F633" s="2">
        <v>10</v>
      </c>
      <c r="G633" s="1">
        <f t="shared" si="39"/>
        <v>0.44091710758377428</v>
      </c>
      <c r="H633" s="2">
        <v>1.5</v>
      </c>
      <c r="I633" s="26">
        <v>0.6958333333333333</v>
      </c>
      <c r="J633" s="26">
        <v>0.72777777777777775</v>
      </c>
      <c r="K633" s="27">
        <f>Table3[[#This Row],[Delivery Time]]-Table3[[#This Row],[Order Time]]</f>
        <v>3.1944444444444442E-2</v>
      </c>
      <c r="L633" s="43">
        <v>46.000000000000007</v>
      </c>
      <c r="M633" s="25" t="s">
        <v>0</v>
      </c>
      <c r="N633" s="28"/>
      <c r="O633" s="28" t="s">
        <v>39</v>
      </c>
      <c r="P633" s="25" t="s">
        <v>20</v>
      </c>
    </row>
    <row r="634" spans="1:16" x14ac:dyDescent="0.25">
      <c r="A634" s="23">
        <f t="shared" si="36"/>
        <v>633</v>
      </c>
      <c r="B634" s="24">
        <v>43133</v>
      </c>
      <c r="C634" s="18" t="str">
        <f t="shared" si="37"/>
        <v>Friday</v>
      </c>
      <c r="D634" s="10" t="str">
        <f t="shared" si="38"/>
        <v>Same</v>
      </c>
      <c r="E634" s="2">
        <v>20.78</v>
      </c>
      <c r="F634" s="2">
        <v>10.5</v>
      </c>
      <c r="G634" s="1">
        <f t="shared" si="39"/>
        <v>0.50529355149181898</v>
      </c>
      <c r="H634" s="2">
        <v>5</v>
      </c>
      <c r="I634" s="26">
        <v>0.70138888888888884</v>
      </c>
      <c r="J634" s="26">
        <v>0.74097222222222225</v>
      </c>
      <c r="K634" s="27">
        <f>Table3[[#This Row],[Delivery Time]]-Table3[[#This Row],[Order Time]]</f>
        <v>3.9583333333333415E-2</v>
      </c>
      <c r="L634" s="43">
        <v>57</v>
      </c>
      <c r="M634" s="25" t="s">
        <v>0</v>
      </c>
      <c r="N634" s="28"/>
      <c r="O634" s="28" t="s">
        <v>39</v>
      </c>
      <c r="P634" s="25" t="s">
        <v>20</v>
      </c>
    </row>
    <row r="635" spans="1:16" x14ac:dyDescent="0.25">
      <c r="A635" s="23">
        <f t="shared" si="36"/>
        <v>634</v>
      </c>
      <c r="B635" s="24">
        <v>43133</v>
      </c>
      <c r="C635" s="18" t="str">
        <f t="shared" si="37"/>
        <v>Friday</v>
      </c>
      <c r="D635" s="10" t="str">
        <f t="shared" si="38"/>
        <v>Same</v>
      </c>
      <c r="E635" s="2">
        <v>32.24</v>
      </c>
      <c r="F635" s="2">
        <v>5</v>
      </c>
      <c r="G635" s="1">
        <f t="shared" si="39"/>
        <v>0.15508684863523572</v>
      </c>
      <c r="H635" s="2">
        <v>1.5</v>
      </c>
      <c r="I635" s="26">
        <v>0.70972222222222225</v>
      </c>
      <c r="J635" s="26">
        <v>0.74930555555555556</v>
      </c>
      <c r="K635" s="27">
        <f>Table3[[#This Row],[Delivery Time]]-Table3[[#This Row],[Order Time]]</f>
        <v>3.9583333333333304E-2</v>
      </c>
      <c r="L635" s="43">
        <v>57</v>
      </c>
      <c r="M635" s="25" t="s">
        <v>0</v>
      </c>
      <c r="N635" s="28"/>
      <c r="O635" s="28" t="s">
        <v>39</v>
      </c>
      <c r="P635" s="25" t="s">
        <v>20</v>
      </c>
    </row>
    <row r="636" spans="1:16" x14ac:dyDescent="0.25">
      <c r="A636" s="23">
        <f t="shared" si="36"/>
        <v>635</v>
      </c>
      <c r="B636" s="24">
        <v>43133</v>
      </c>
      <c r="C636" s="18" t="str">
        <f t="shared" si="37"/>
        <v>Friday</v>
      </c>
      <c r="D636" s="10" t="str">
        <f t="shared" si="38"/>
        <v>Same</v>
      </c>
      <c r="E636" s="2">
        <v>48.71</v>
      </c>
      <c r="F636" s="2">
        <v>7</v>
      </c>
      <c r="G636" s="1">
        <f t="shared" si="39"/>
        <v>0.1437076575651817</v>
      </c>
      <c r="H636" s="2">
        <v>1.5</v>
      </c>
      <c r="I636" s="26">
        <v>0.77013888888888893</v>
      </c>
      <c r="J636" s="26">
        <v>0.79305555555555562</v>
      </c>
      <c r="K636" s="27">
        <f>Table3[[#This Row],[Delivery Time]]-Table3[[#This Row],[Order Time]]</f>
        <v>2.2916666666666696E-2</v>
      </c>
      <c r="L636" s="43">
        <v>33</v>
      </c>
      <c r="M636" s="25" t="s">
        <v>0</v>
      </c>
      <c r="N636" s="28"/>
      <c r="O636" s="28" t="s">
        <v>40</v>
      </c>
      <c r="P636" s="25" t="s">
        <v>20</v>
      </c>
    </row>
    <row r="637" spans="1:16" x14ac:dyDescent="0.25">
      <c r="A637" s="23">
        <f t="shared" si="36"/>
        <v>636</v>
      </c>
      <c r="B637" s="24">
        <v>43133</v>
      </c>
      <c r="C637" s="18" t="str">
        <f t="shared" si="37"/>
        <v>Friday</v>
      </c>
      <c r="D637" s="10" t="str">
        <f t="shared" si="38"/>
        <v>Same</v>
      </c>
      <c r="E637" s="2">
        <v>51.09</v>
      </c>
      <c r="F637" s="2">
        <v>6</v>
      </c>
      <c r="G637" s="1">
        <f t="shared" si="39"/>
        <v>0.11743981209630064</v>
      </c>
      <c r="H637" s="2">
        <v>1.5</v>
      </c>
      <c r="I637" s="26">
        <v>0.77708333333333324</v>
      </c>
      <c r="J637" s="26">
        <v>0.80138888888888893</v>
      </c>
      <c r="K637" s="27">
        <f>Table3[[#This Row],[Delivery Time]]-Table3[[#This Row],[Order Time]]</f>
        <v>2.4305555555555691E-2</v>
      </c>
      <c r="L637" s="43">
        <v>35</v>
      </c>
      <c r="M637" s="25" t="s">
        <v>0</v>
      </c>
      <c r="N637" s="28"/>
      <c r="O637" s="28" t="s">
        <v>41</v>
      </c>
      <c r="P637" s="25" t="s">
        <v>20</v>
      </c>
    </row>
    <row r="638" spans="1:16" x14ac:dyDescent="0.25">
      <c r="A638" s="23">
        <f t="shared" si="36"/>
        <v>637</v>
      </c>
      <c r="B638" s="24">
        <v>43133</v>
      </c>
      <c r="C638" s="18" t="str">
        <f t="shared" si="37"/>
        <v>Friday</v>
      </c>
      <c r="D638" s="10" t="str">
        <f t="shared" si="38"/>
        <v>Same</v>
      </c>
      <c r="E638" s="2">
        <v>14.88</v>
      </c>
      <c r="F638" s="2">
        <v>4</v>
      </c>
      <c r="G638" s="1">
        <f t="shared" si="39"/>
        <v>0.26881720430107525</v>
      </c>
      <c r="H638" s="2">
        <v>1.5</v>
      </c>
      <c r="I638" s="26">
        <v>0.78194444444444444</v>
      </c>
      <c r="J638" s="26">
        <v>0.81666666666666676</v>
      </c>
      <c r="K638" s="27">
        <f>Table3[[#This Row],[Delivery Time]]-Table3[[#This Row],[Order Time]]</f>
        <v>3.4722222222222321E-2</v>
      </c>
      <c r="L638" s="43">
        <v>50</v>
      </c>
      <c r="M638" s="25" t="s">
        <v>0</v>
      </c>
      <c r="N638" s="28"/>
      <c r="O638" s="28" t="s">
        <v>39</v>
      </c>
      <c r="P638" s="25" t="s">
        <v>20</v>
      </c>
    </row>
    <row r="639" spans="1:16" x14ac:dyDescent="0.25">
      <c r="A639" s="23">
        <f t="shared" si="36"/>
        <v>638</v>
      </c>
      <c r="B639" s="24">
        <v>43133</v>
      </c>
      <c r="C639" s="18" t="str">
        <f t="shared" si="37"/>
        <v>Friday</v>
      </c>
      <c r="D639" s="10" t="str">
        <f t="shared" si="38"/>
        <v>Same</v>
      </c>
      <c r="E639" s="2">
        <v>52.45</v>
      </c>
      <c r="F639" s="2">
        <v>6</v>
      </c>
      <c r="G639" s="1">
        <f t="shared" si="39"/>
        <v>0.11439466158245948</v>
      </c>
      <c r="H639" s="2">
        <v>1.5</v>
      </c>
      <c r="I639" s="26">
        <v>0.83263888888888893</v>
      </c>
      <c r="J639" s="26">
        <v>0.84791666666666676</v>
      </c>
      <c r="K639" s="27">
        <f>Table3[[#This Row],[Delivery Time]]-Table3[[#This Row],[Order Time]]</f>
        <v>1.5277777777777835E-2</v>
      </c>
      <c r="L639" s="43">
        <v>22</v>
      </c>
      <c r="M639" s="25" t="s">
        <v>11</v>
      </c>
      <c r="N639" s="28"/>
      <c r="O639" s="28" t="s">
        <v>41</v>
      </c>
      <c r="P639" s="25" t="s">
        <v>20</v>
      </c>
    </row>
    <row r="640" spans="1:16" x14ac:dyDescent="0.25">
      <c r="A640" s="23">
        <f t="shared" si="36"/>
        <v>639</v>
      </c>
      <c r="B640" s="24">
        <v>43134</v>
      </c>
      <c r="C640" s="18" t="str">
        <f t="shared" si="37"/>
        <v>Saturday</v>
      </c>
      <c r="D640" s="10" t="str">
        <f t="shared" si="38"/>
        <v>Different</v>
      </c>
      <c r="E640" s="2">
        <v>41.35</v>
      </c>
      <c r="F640" s="2">
        <v>15</v>
      </c>
      <c r="G640" s="1">
        <f t="shared" si="39"/>
        <v>0.36275695284159609</v>
      </c>
      <c r="H640" s="2">
        <v>1.5</v>
      </c>
      <c r="I640" s="26">
        <v>0.70486111111111116</v>
      </c>
      <c r="J640" s="26">
        <v>0.72638888888888886</v>
      </c>
      <c r="K640" s="27">
        <f>Table3[[#This Row],[Delivery Time]]-Table3[[#This Row],[Order Time]]</f>
        <v>2.1527777777777701E-2</v>
      </c>
      <c r="L640" s="43">
        <v>31.000000000000004</v>
      </c>
      <c r="M640" s="25" t="s">
        <v>0</v>
      </c>
      <c r="N640" s="28"/>
      <c r="O640" s="28" t="s">
        <v>39</v>
      </c>
      <c r="P640" s="25" t="s">
        <v>20</v>
      </c>
    </row>
    <row r="641" spans="1:16" x14ac:dyDescent="0.25">
      <c r="A641" s="23">
        <f t="shared" si="36"/>
        <v>640</v>
      </c>
      <c r="B641" s="24">
        <v>43134</v>
      </c>
      <c r="C641" s="18" t="str">
        <f t="shared" si="37"/>
        <v>Saturday</v>
      </c>
      <c r="D641" s="10" t="str">
        <f t="shared" si="38"/>
        <v>Same</v>
      </c>
      <c r="E641" s="2">
        <v>24.84</v>
      </c>
      <c r="F641" s="2">
        <v>6</v>
      </c>
      <c r="G641" s="1">
        <f t="shared" si="39"/>
        <v>0.24154589371980675</v>
      </c>
      <c r="H641" s="2">
        <v>5</v>
      </c>
      <c r="I641" s="26">
        <v>0.74583333333333324</v>
      </c>
      <c r="J641" s="26">
        <v>0.77500000000000002</v>
      </c>
      <c r="K641" s="27">
        <f>Table3[[#This Row],[Delivery Time]]-Table3[[#This Row],[Order Time]]</f>
        <v>2.9166666666666785E-2</v>
      </c>
      <c r="L641" s="43">
        <v>42</v>
      </c>
      <c r="M641" s="25" t="s">
        <v>0</v>
      </c>
      <c r="N641" s="28"/>
      <c r="O641" s="28" t="s">
        <v>39</v>
      </c>
      <c r="P641" s="25" t="s">
        <v>20</v>
      </c>
    </row>
    <row r="642" spans="1:16" x14ac:dyDescent="0.25">
      <c r="A642" s="23">
        <f t="shared" si="36"/>
        <v>641</v>
      </c>
      <c r="B642" s="24">
        <v>43134</v>
      </c>
      <c r="C642" s="18" t="str">
        <f t="shared" si="37"/>
        <v>Saturday</v>
      </c>
      <c r="D642" s="10" t="str">
        <f t="shared" si="38"/>
        <v>Same</v>
      </c>
      <c r="E642" s="2">
        <v>66.569999999999993</v>
      </c>
      <c r="F642" s="2">
        <v>20</v>
      </c>
      <c r="G642" s="1">
        <f t="shared" si="39"/>
        <v>0.30043563166591558</v>
      </c>
      <c r="H642" s="2">
        <v>1.5</v>
      </c>
      <c r="I642" s="26">
        <v>0.75208333333333333</v>
      </c>
      <c r="J642" s="26">
        <v>0.78402777777777777</v>
      </c>
      <c r="K642" s="27">
        <f>Table3[[#This Row],[Delivery Time]]-Table3[[#This Row],[Order Time]]</f>
        <v>3.1944444444444442E-2</v>
      </c>
      <c r="L642" s="43">
        <v>46.000000000000007</v>
      </c>
      <c r="M642" s="25" t="s">
        <v>0</v>
      </c>
      <c r="N642" s="28"/>
      <c r="O642" s="28" t="s">
        <v>39</v>
      </c>
      <c r="P642" s="25" t="s">
        <v>20</v>
      </c>
    </row>
    <row r="643" spans="1:16" x14ac:dyDescent="0.25">
      <c r="A643" s="23">
        <f t="shared" si="36"/>
        <v>642</v>
      </c>
      <c r="B643" s="24">
        <v>43134</v>
      </c>
      <c r="C643" s="18" t="str">
        <f t="shared" si="37"/>
        <v>Saturday</v>
      </c>
      <c r="D643" s="10" t="str">
        <f t="shared" si="38"/>
        <v>Same</v>
      </c>
      <c r="E643" s="2">
        <v>95.64</v>
      </c>
      <c r="F643" s="2">
        <v>20</v>
      </c>
      <c r="G643" s="1">
        <f t="shared" si="39"/>
        <v>0.20911752404851527</v>
      </c>
      <c r="H643" s="2">
        <v>1.5</v>
      </c>
      <c r="I643" s="26">
        <v>0.75347222222222221</v>
      </c>
      <c r="J643" s="26">
        <v>0.7895833333333333</v>
      </c>
      <c r="K643" s="27">
        <f>Table3[[#This Row],[Delivery Time]]-Table3[[#This Row],[Order Time]]</f>
        <v>3.6111111111111094E-2</v>
      </c>
      <c r="L643" s="43">
        <v>52</v>
      </c>
      <c r="M643" s="25" t="s">
        <v>0</v>
      </c>
      <c r="N643" s="28"/>
      <c r="O643" s="28" t="s">
        <v>39</v>
      </c>
      <c r="P643" s="25" t="s">
        <v>20</v>
      </c>
    </row>
    <row r="644" spans="1:16" x14ac:dyDescent="0.25">
      <c r="A644" s="23">
        <f t="shared" si="36"/>
        <v>643</v>
      </c>
      <c r="B644" s="24">
        <v>43134</v>
      </c>
      <c r="C644" s="18" t="str">
        <f t="shared" si="37"/>
        <v>Saturday</v>
      </c>
      <c r="D644" s="10" t="str">
        <f t="shared" si="38"/>
        <v>Same</v>
      </c>
      <c r="E644" s="2">
        <v>47.57</v>
      </c>
      <c r="F644" s="2">
        <v>4</v>
      </c>
      <c r="G644" s="1">
        <f t="shared" si="39"/>
        <v>8.4086609207483703E-2</v>
      </c>
      <c r="H644" s="2">
        <v>1.5</v>
      </c>
      <c r="I644" s="26">
        <v>0.75069444444444444</v>
      </c>
      <c r="J644" s="26">
        <v>0.79513888888888884</v>
      </c>
      <c r="K644" s="27">
        <f>Table3[[#This Row],[Delivery Time]]-Table3[[#This Row],[Order Time]]</f>
        <v>4.4444444444444398E-2</v>
      </c>
      <c r="L644" s="43">
        <v>64</v>
      </c>
      <c r="M644" s="25" t="s">
        <v>0</v>
      </c>
      <c r="N644" s="28"/>
      <c r="O644" s="28" t="s">
        <v>39</v>
      </c>
      <c r="P644" s="25" t="s">
        <v>20</v>
      </c>
    </row>
    <row r="645" spans="1:16" x14ac:dyDescent="0.25">
      <c r="A645" s="23">
        <f t="shared" si="36"/>
        <v>644</v>
      </c>
      <c r="B645" s="24">
        <v>43134</v>
      </c>
      <c r="C645" s="18" t="str">
        <f t="shared" si="37"/>
        <v>Saturday</v>
      </c>
      <c r="D645" s="10" t="str">
        <f t="shared" si="38"/>
        <v>Same</v>
      </c>
      <c r="E645" s="2">
        <v>34.53</v>
      </c>
      <c r="F645" s="2">
        <v>5.47</v>
      </c>
      <c r="G645" s="1">
        <f t="shared" si="39"/>
        <v>0.15841297422531131</v>
      </c>
      <c r="H645" s="2">
        <v>1.5</v>
      </c>
      <c r="I645" s="26">
        <v>0.79236111111111107</v>
      </c>
      <c r="J645" s="26">
        <v>0.82152777777777775</v>
      </c>
      <c r="K645" s="27">
        <f>Table3[[#This Row],[Delivery Time]]-Table3[[#This Row],[Order Time]]</f>
        <v>2.9166666666666674E-2</v>
      </c>
      <c r="L645" s="43">
        <v>42</v>
      </c>
      <c r="M645" s="25" t="s">
        <v>36</v>
      </c>
      <c r="N645" s="28"/>
      <c r="O645" s="28" t="s">
        <v>39</v>
      </c>
      <c r="P645" s="25" t="s">
        <v>20</v>
      </c>
    </row>
    <row r="646" spans="1:16" x14ac:dyDescent="0.25">
      <c r="A646" s="23">
        <f t="shared" ref="A646:A709" si="40">ROW(A645)</f>
        <v>645</v>
      </c>
      <c r="B646" s="24">
        <v>43134</v>
      </c>
      <c r="C646" s="18" t="str">
        <f t="shared" ref="C646:C709" si="41">TEXT(B646,"dddd")</f>
        <v>Saturday</v>
      </c>
      <c r="D646" s="10" t="str">
        <f t="shared" ref="D646:D709" si="42">IF(B645=B646, "Same", "Different")</f>
        <v>Same</v>
      </c>
      <c r="E646" s="2">
        <v>50.34</v>
      </c>
      <c r="F646" s="2">
        <v>8</v>
      </c>
      <c r="G646" s="1">
        <f t="shared" ref="G646:G709" si="43">F646/E646</f>
        <v>0.15891934843067143</v>
      </c>
      <c r="H646" s="2">
        <v>1.5</v>
      </c>
      <c r="I646" s="26">
        <v>0.8222222222222223</v>
      </c>
      <c r="J646" s="26">
        <v>0.84583333333333333</v>
      </c>
      <c r="K646" s="27">
        <f>Table3[[#This Row],[Delivery Time]]-Table3[[#This Row],[Order Time]]</f>
        <v>2.3611111111111027E-2</v>
      </c>
      <c r="L646" s="43">
        <v>34</v>
      </c>
      <c r="M646" s="25" t="s">
        <v>0</v>
      </c>
      <c r="N646" s="28"/>
      <c r="O646" s="28" t="s">
        <v>39</v>
      </c>
      <c r="P646" s="25" t="s">
        <v>20</v>
      </c>
    </row>
    <row r="647" spans="1:16" x14ac:dyDescent="0.25">
      <c r="A647" s="23">
        <f t="shared" si="40"/>
        <v>646</v>
      </c>
      <c r="B647" s="24">
        <v>43134</v>
      </c>
      <c r="C647" s="18" t="str">
        <f t="shared" si="41"/>
        <v>Saturday</v>
      </c>
      <c r="D647" s="10" t="str">
        <f t="shared" si="42"/>
        <v>Same</v>
      </c>
      <c r="E647" s="2">
        <v>36.97</v>
      </c>
      <c r="F647" s="2">
        <v>3</v>
      </c>
      <c r="G647" s="1">
        <f t="shared" si="43"/>
        <v>8.1146875845279964E-2</v>
      </c>
      <c r="H647" s="2">
        <v>1.5</v>
      </c>
      <c r="I647" s="26">
        <v>0.82430555555555562</v>
      </c>
      <c r="J647" s="26">
        <v>0.85069444444444453</v>
      </c>
      <c r="K647" s="27">
        <f>Table3[[#This Row],[Delivery Time]]-Table3[[#This Row],[Order Time]]</f>
        <v>2.6388888888888906E-2</v>
      </c>
      <c r="L647" s="43">
        <v>38</v>
      </c>
      <c r="M647" s="25" t="s">
        <v>0</v>
      </c>
      <c r="N647" s="28"/>
      <c r="O647" s="28" t="s">
        <v>39</v>
      </c>
      <c r="P647" s="25" t="s">
        <v>20</v>
      </c>
    </row>
    <row r="648" spans="1:16" x14ac:dyDescent="0.25">
      <c r="A648" s="23">
        <f t="shared" si="40"/>
        <v>647</v>
      </c>
      <c r="B648" s="24">
        <v>43135</v>
      </c>
      <c r="C648" s="18" t="str">
        <f t="shared" si="41"/>
        <v>Sunday</v>
      </c>
      <c r="D648" s="10" t="str">
        <f t="shared" si="42"/>
        <v>Different</v>
      </c>
      <c r="E648" s="2">
        <v>17.86</v>
      </c>
      <c r="F648" s="2">
        <v>3</v>
      </c>
      <c r="G648" s="1">
        <f t="shared" si="43"/>
        <v>0.16797312430011199</v>
      </c>
      <c r="H648" s="2">
        <v>1.5</v>
      </c>
      <c r="I648" s="26">
        <v>0.64374999999999993</v>
      </c>
      <c r="J648" s="26">
        <v>0.67152777777777783</v>
      </c>
      <c r="K648" s="27">
        <f>Table3[[#This Row],[Delivery Time]]-Table3[[#This Row],[Order Time]]</f>
        <v>2.7777777777777901E-2</v>
      </c>
      <c r="L648" s="43">
        <v>40</v>
      </c>
      <c r="M648" s="25" t="s">
        <v>0</v>
      </c>
      <c r="N648" s="28"/>
      <c r="O648" s="28" t="s">
        <v>40</v>
      </c>
      <c r="P648" s="25" t="s">
        <v>20</v>
      </c>
    </row>
    <row r="649" spans="1:16" x14ac:dyDescent="0.25">
      <c r="A649" s="23">
        <f t="shared" si="40"/>
        <v>648</v>
      </c>
      <c r="B649" s="24">
        <v>43135</v>
      </c>
      <c r="C649" s="18" t="str">
        <f t="shared" si="41"/>
        <v>Sunday</v>
      </c>
      <c r="D649" s="10" t="str">
        <f t="shared" si="42"/>
        <v>Same</v>
      </c>
      <c r="E649" s="2">
        <v>65.38</v>
      </c>
      <c r="F649" s="2">
        <v>5</v>
      </c>
      <c r="G649" s="1">
        <f t="shared" si="43"/>
        <v>7.6475986540226373E-2</v>
      </c>
      <c r="H649" s="2">
        <v>1.5</v>
      </c>
      <c r="I649" s="26">
        <v>0.64861111111111114</v>
      </c>
      <c r="J649" s="26">
        <v>0.68125000000000002</v>
      </c>
      <c r="K649" s="27">
        <f>Table3[[#This Row],[Delivery Time]]-Table3[[#This Row],[Order Time]]</f>
        <v>3.2638888888888884E-2</v>
      </c>
      <c r="L649" s="43">
        <v>47.000000000000007</v>
      </c>
      <c r="M649" s="25" t="s">
        <v>0</v>
      </c>
      <c r="N649" s="28"/>
      <c r="O649" s="28" t="s">
        <v>41</v>
      </c>
      <c r="P649" s="25" t="s">
        <v>20</v>
      </c>
    </row>
    <row r="650" spans="1:16" x14ac:dyDescent="0.25">
      <c r="A650" s="23">
        <f t="shared" si="40"/>
        <v>649</v>
      </c>
      <c r="B650" s="24">
        <v>43135</v>
      </c>
      <c r="C650" s="18" t="str">
        <f t="shared" si="41"/>
        <v>Sunday</v>
      </c>
      <c r="D650" s="10" t="str">
        <f t="shared" si="42"/>
        <v>Same</v>
      </c>
      <c r="E650" s="2">
        <v>34.86</v>
      </c>
      <c r="F650" s="2">
        <v>5</v>
      </c>
      <c r="G650" s="1">
        <f t="shared" si="43"/>
        <v>0.1434308663224326</v>
      </c>
      <c r="H650" s="2">
        <v>5</v>
      </c>
      <c r="I650" s="26">
        <v>0.71875</v>
      </c>
      <c r="J650" s="26">
        <v>0.71875</v>
      </c>
      <c r="K650" s="27">
        <f>Table3[[#This Row],[Delivery Time]]-Table3[[#This Row],[Order Time]]</f>
        <v>0</v>
      </c>
      <c r="L650" s="43">
        <v>0</v>
      </c>
      <c r="M650" s="25" t="s">
        <v>0</v>
      </c>
      <c r="N650" s="28"/>
      <c r="O650" s="28" t="s">
        <v>39</v>
      </c>
      <c r="P650" s="25" t="s">
        <v>16</v>
      </c>
    </row>
    <row r="651" spans="1:16" x14ac:dyDescent="0.25">
      <c r="A651" s="23">
        <f t="shared" si="40"/>
        <v>650</v>
      </c>
      <c r="B651" s="24">
        <v>43135</v>
      </c>
      <c r="C651" s="18" t="str">
        <f t="shared" si="41"/>
        <v>Sunday</v>
      </c>
      <c r="D651" s="10" t="str">
        <f t="shared" si="42"/>
        <v>Same</v>
      </c>
      <c r="E651" s="2">
        <v>37.56</v>
      </c>
      <c r="F651" s="2">
        <v>8</v>
      </c>
      <c r="G651" s="1">
        <f t="shared" si="43"/>
        <v>0.21299254526091585</v>
      </c>
      <c r="H651" s="2">
        <v>1.5</v>
      </c>
      <c r="I651" s="26">
        <v>0.72916666666666663</v>
      </c>
      <c r="J651" s="26">
        <v>0.72916666666666663</v>
      </c>
      <c r="K651" s="27">
        <f>Table3[[#This Row],[Delivery Time]]-Table3[[#This Row],[Order Time]]</f>
        <v>0</v>
      </c>
      <c r="L651" s="43">
        <v>0</v>
      </c>
      <c r="M651" s="25" t="s">
        <v>0</v>
      </c>
      <c r="N651" s="28" t="s">
        <v>24</v>
      </c>
      <c r="O651" s="28" t="s">
        <v>39</v>
      </c>
      <c r="P651" s="25" t="s">
        <v>16</v>
      </c>
    </row>
    <row r="652" spans="1:16" x14ac:dyDescent="0.25">
      <c r="A652" s="23">
        <f t="shared" si="40"/>
        <v>651</v>
      </c>
      <c r="B652" s="24">
        <v>43135</v>
      </c>
      <c r="C652" s="18" t="str">
        <f t="shared" si="41"/>
        <v>Sunday</v>
      </c>
      <c r="D652" s="10" t="str">
        <f t="shared" si="42"/>
        <v>Same</v>
      </c>
      <c r="E652" s="2">
        <v>40.83</v>
      </c>
      <c r="F652" s="2">
        <v>3</v>
      </c>
      <c r="G652" s="1">
        <f t="shared" si="43"/>
        <v>7.3475385745775168E-2</v>
      </c>
      <c r="H652" s="2">
        <v>1.5</v>
      </c>
      <c r="I652" s="26">
        <v>0.72361111111111109</v>
      </c>
      <c r="J652" s="26">
        <v>0.75208333333333333</v>
      </c>
      <c r="K652" s="27">
        <f>Table3[[#This Row],[Delivery Time]]-Table3[[#This Row],[Order Time]]</f>
        <v>2.8472222222222232E-2</v>
      </c>
      <c r="L652" s="43">
        <v>41</v>
      </c>
      <c r="M652" s="25" t="s">
        <v>11</v>
      </c>
      <c r="N652" s="28"/>
      <c r="O652" s="28" t="s">
        <v>41</v>
      </c>
      <c r="P652" s="25" t="s">
        <v>20</v>
      </c>
    </row>
    <row r="653" spans="1:16" x14ac:dyDescent="0.25">
      <c r="A653" s="23">
        <f t="shared" si="40"/>
        <v>652</v>
      </c>
      <c r="B653" s="24">
        <v>43135</v>
      </c>
      <c r="C653" s="18" t="str">
        <f t="shared" si="41"/>
        <v>Sunday</v>
      </c>
      <c r="D653" s="10" t="str">
        <f t="shared" si="42"/>
        <v>Same</v>
      </c>
      <c r="E653" s="2">
        <v>28.36</v>
      </c>
      <c r="F653" s="2">
        <v>11.64</v>
      </c>
      <c r="G653" s="1">
        <f t="shared" si="43"/>
        <v>0.41043723554301836</v>
      </c>
      <c r="H653" s="2">
        <v>1.5</v>
      </c>
      <c r="I653" s="26">
        <v>0.74583333333333324</v>
      </c>
      <c r="J653" s="26">
        <v>0.76944444444444438</v>
      </c>
      <c r="K653" s="27">
        <f>Table3[[#This Row],[Delivery Time]]-Table3[[#This Row],[Order Time]]</f>
        <v>2.3611111111111138E-2</v>
      </c>
      <c r="L653" s="43">
        <v>34</v>
      </c>
      <c r="M653" s="25" t="s">
        <v>0</v>
      </c>
      <c r="N653" s="28"/>
      <c r="O653" s="28" t="s">
        <v>40</v>
      </c>
      <c r="P653" s="25" t="s">
        <v>20</v>
      </c>
    </row>
    <row r="654" spans="1:16" x14ac:dyDescent="0.25">
      <c r="A654" s="23">
        <f t="shared" si="40"/>
        <v>653</v>
      </c>
      <c r="B654" s="24">
        <v>43135</v>
      </c>
      <c r="C654" s="18" t="str">
        <f t="shared" si="41"/>
        <v>Sunday</v>
      </c>
      <c r="D654" s="10" t="str">
        <f t="shared" si="42"/>
        <v>Same</v>
      </c>
      <c r="E654" s="2">
        <v>63.71</v>
      </c>
      <c r="F654" s="2">
        <v>0</v>
      </c>
      <c r="G654" s="1">
        <f t="shared" si="43"/>
        <v>0</v>
      </c>
      <c r="H654" s="2">
        <v>1.5</v>
      </c>
      <c r="I654" s="26">
        <v>0.74375000000000002</v>
      </c>
      <c r="J654" s="26">
        <v>0.77847222222222223</v>
      </c>
      <c r="K654" s="27">
        <f>Table3[[#This Row],[Delivery Time]]-Table3[[#This Row],[Order Time]]</f>
        <v>3.472222222222221E-2</v>
      </c>
      <c r="L654" s="43">
        <v>50</v>
      </c>
      <c r="M654" s="25" t="s">
        <v>0</v>
      </c>
      <c r="N654" s="28" t="s">
        <v>22</v>
      </c>
      <c r="O654" s="28" t="s">
        <v>39</v>
      </c>
      <c r="P654" s="25" t="s">
        <v>20</v>
      </c>
    </row>
    <row r="655" spans="1:16" x14ac:dyDescent="0.25">
      <c r="A655" s="23">
        <f t="shared" si="40"/>
        <v>654</v>
      </c>
      <c r="B655" s="24">
        <v>43135</v>
      </c>
      <c r="C655" s="18" t="str">
        <f t="shared" si="41"/>
        <v>Sunday</v>
      </c>
      <c r="D655" s="10" t="str">
        <f t="shared" si="42"/>
        <v>Same</v>
      </c>
      <c r="E655" s="2">
        <v>23.49</v>
      </c>
      <c r="F655" s="2">
        <v>3.51</v>
      </c>
      <c r="G655" s="1">
        <f t="shared" si="43"/>
        <v>0.14942528735632185</v>
      </c>
      <c r="H655" s="2">
        <v>1.5</v>
      </c>
      <c r="I655" s="26">
        <v>0.75208333333333333</v>
      </c>
      <c r="J655" s="26">
        <v>0.79166666666666663</v>
      </c>
      <c r="K655" s="27">
        <f>Table3[[#This Row],[Delivery Time]]-Table3[[#This Row],[Order Time]]</f>
        <v>3.9583333333333304E-2</v>
      </c>
      <c r="L655" s="43">
        <v>57</v>
      </c>
      <c r="M655" s="25" t="s">
        <v>0</v>
      </c>
      <c r="N655" s="28" t="s">
        <v>26</v>
      </c>
      <c r="O655" s="28" t="s">
        <v>39</v>
      </c>
      <c r="P655" s="25" t="s">
        <v>20</v>
      </c>
    </row>
    <row r="656" spans="1:16" x14ac:dyDescent="0.25">
      <c r="A656" s="23">
        <f t="shared" si="40"/>
        <v>655</v>
      </c>
      <c r="B656" s="24">
        <v>43135</v>
      </c>
      <c r="C656" s="18" t="str">
        <f t="shared" si="41"/>
        <v>Sunday</v>
      </c>
      <c r="D656" s="10" t="str">
        <f t="shared" si="42"/>
        <v>Same</v>
      </c>
      <c r="E656" s="2">
        <v>34.1</v>
      </c>
      <c r="F656" s="2">
        <v>5</v>
      </c>
      <c r="G656" s="1">
        <f t="shared" si="43"/>
        <v>0.14662756598240467</v>
      </c>
      <c r="H656" s="2">
        <v>1.5</v>
      </c>
      <c r="I656" s="26">
        <v>0.7944444444444444</v>
      </c>
      <c r="J656" s="26">
        <v>0.82152777777777775</v>
      </c>
      <c r="K656" s="27">
        <f>Table3[[#This Row],[Delivery Time]]-Table3[[#This Row],[Order Time]]</f>
        <v>2.7083333333333348E-2</v>
      </c>
      <c r="L656" s="43">
        <v>39</v>
      </c>
      <c r="M656" s="25" t="s">
        <v>0</v>
      </c>
      <c r="N656" s="28"/>
      <c r="O656" s="28" t="s">
        <v>39</v>
      </c>
      <c r="P656" s="25" t="s">
        <v>20</v>
      </c>
    </row>
    <row r="657" spans="1:16" x14ac:dyDescent="0.25">
      <c r="A657" s="23">
        <f t="shared" si="40"/>
        <v>656</v>
      </c>
      <c r="B657" s="24">
        <v>43140</v>
      </c>
      <c r="C657" s="18" t="str">
        <f t="shared" si="41"/>
        <v>Friday</v>
      </c>
      <c r="D657" s="10" t="str">
        <f t="shared" si="42"/>
        <v>Different</v>
      </c>
      <c r="E657" s="2">
        <v>42.65</v>
      </c>
      <c r="F657" s="2">
        <v>8.5</v>
      </c>
      <c r="G657" s="1">
        <f t="shared" si="43"/>
        <v>0.1992966002344666</v>
      </c>
      <c r="H657" s="2">
        <v>1.5</v>
      </c>
      <c r="I657" s="26">
        <v>0.74930555555555556</v>
      </c>
      <c r="J657" s="26">
        <v>0.77083333333333337</v>
      </c>
      <c r="K657" s="27">
        <f>Table3[[#This Row],[Delivery Time]]-Table3[[#This Row],[Order Time]]</f>
        <v>2.1527777777777812E-2</v>
      </c>
      <c r="L657" s="43">
        <v>31.000000000000004</v>
      </c>
      <c r="M657" s="25" t="s">
        <v>0</v>
      </c>
      <c r="N657" s="28"/>
      <c r="O657" s="28" t="s">
        <v>39</v>
      </c>
      <c r="P657" s="25" t="s">
        <v>20</v>
      </c>
    </row>
    <row r="658" spans="1:16" x14ac:dyDescent="0.25">
      <c r="A658" s="23">
        <f t="shared" si="40"/>
        <v>657</v>
      </c>
      <c r="B658" s="24">
        <v>43140</v>
      </c>
      <c r="C658" s="18" t="str">
        <f t="shared" si="41"/>
        <v>Friday</v>
      </c>
      <c r="D658" s="10" t="str">
        <f t="shared" si="42"/>
        <v>Same</v>
      </c>
      <c r="E658" s="2">
        <v>29.99</v>
      </c>
      <c r="F658" s="2">
        <v>6.01</v>
      </c>
      <c r="G658" s="1">
        <f t="shared" si="43"/>
        <v>0.20040013337779261</v>
      </c>
      <c r="H658" s="2">
        <v>1.5</v>
      </c>
      <c r="I658" s="26">
        <v>0.74583333333333324</v>
      </c>
      <c r="J658" s="26">
        <v>0.77777777777777779</v>
      </c>
      <c r="K658" s="27">
        <f>Table3[[#This Row],[Delivery Time]]-Table3[[#This Row],[Order Time]]</f>
        <v>3.1944444444444553E-2</v>
      </c>
      <c r="L658" s="43">
        <v>46.000000000000007</v>
      </c>
      <c r="M658" s="25" t="s">
        <v>0</v>
      </c>
      <c r="N658" s="28"/>
      <c r="O658" s="28" t="s">
        <v>39</v>
      </c>
      <c r="P658" s="25" t="s">
        <v>20</v>
      </c>
    </row>
    <row r="659" spans="1:16" x14ac:dyDescent="0.25">
      <c r="A659" s="23">
        <f t="shared" si="40"/>
        <v>658</v>
      </c>
      <c r="B659" s="24">
        <v>43140</v>
      </c>
      <c r="C659" s="18" t="str">
        <f t="shared" si="41"/>
        <v>Friday</v>
      </c>
      <c r="D659" s="10" t="str">
        <f t="shared" si="42"/>
        <v>Same</v>
      </c>
      <c r="E659" s="2">
        <v>37.56</v>
      </c>
      <c r="F659" s="2">
        <v>2</v>
      </c>
      <c r="G659" s="1">
        <f t="shared" si="43"/>
        <v>5.3248136315228962E-2</v>
      </c>
      <c r="H659" s="2">
        <v>1.5</v>
      </c>
      <c r="I659" s="26">
        <v>0.75347222222222221</v>
      </c>
      <c r="J659" s="26">
        <v>0.78263888888888899</v>
      </c>
      <c r="K659" s="27">
        <f>Table3[[#This Row],[Delivery Time]]-Table3[[#This Row],[Order Time]]</f>
        <v>2.9166666666666785E-2</v>
      </c>
      <c r="L659" s="43">
        <v>42</v>
      </c>
      <c r="M659" s="25" t="s">
        <v>0</v>
      </c>
      <c r="N659" s="28"/>
      <c r="O659" s="28" t="s">
        <v>39</v>
      </c>
      <c r="P659" s="25" t="s">
        <v>20</v>
      </c>
    </row>
    <row r="660" spans="1:16" x14ac:dyDescent="0.25">
      <c r="A660" s="23">
        <f t="shared" si="40"/>
        <v>659</v>
      </c>
      <c r="B660" s="24">
        <v>43140</v>
      </c>
      <c r="C660" s="18" t="str">
        <f t="shared" si="41"/>
        <v>Friday</v>
      </c>
      <c r="D660" s="10" t="str">
        <f t="shared" si="42"/>
        <v>Same</v>
      </c>
      <c r="E660" s="2">
        <v>23.76</v>
      </c>
      <c r="F660" s="2">
        <v>3</v>
      </c>
      <c r="G660" s="1">
        <f t="shared" si="43"/>
        <v>0.12626262626262624</v>
      </c>
      <c r="H660" s="2">
        <v>1.5</v>
      </c>
      <c r="I660" s="26">
        <v>0.75555555555555554</v>
      </c>
      <c r="J660" s="26">
        <v>0.78611111111111109</v>
      </c>
      <c r="K660" s="27">
        <f>Table3[[#This Row],[Delivery Time]]-Table3[[#This Row],[Order Time]]</f>
        <v>3.0555555555555558E-2</v>
      </c>
      <c r="L660" s="43">
        <v>44</v>
      </c>
      <c r="M660" s="25" t="s">
        <v>0</v>
      </c>
      <c r="N660" s="28"/>
      <c r="O660" s="28" t="s">
        <v>39</v>
      </c>
      <c r="P660" s="25" t="s">
        <v>20</v>
      </c>
    </row>
    <row r="661" spans="1:16" x14ac:dyDescent="0.25">
      <c r="A661" s="23">
        <f t="shared" si="40"/>
        <v>660</v>
      </c>
      <c r="B661" s="24">
        <v>43140</v>
      </c>
      <c r="C661" s="18" t="str">
        <f t="shared" si="41"/>
        <v>Friday</v>
      </c>
      <c r="D661" s="10" t="str">
        <f t="shared" si="42"/>
        <v>Same</v>
      </c>
      <c r="E661" s="2">
        <v>17.86</v>
      </c>
      <c r="F661" s="2">
        <v>5</v>
      </c>
      <c r="G661" s="1">
        <f t="shared" si="43"/>
        <v>0.27995520716685329</v>
      </c>
      <c r="H661" s="2">
        <v>1.5</v>
      </c>
      <c r="I661" s="26">
        <v>0.80555555555555547</v>
      </c>
      <c r="J661" s="26">
        <v>0.82430555555555562</v>
      </c>
      <c r="K661" s="27">
        <f>Table3[[#This Row],[Delivery Time]]-Table3[[#This Row],[Order Time]]</f>
        <v>1.8750000000000155E-2</v>
      </c>
      <c r="L661" s="43">
        <v>26.999999999999996</v>
      </c>
      <c r="M661" s="25" t="s">
        <v>11</v>
      </c>
      <c r="N661" s="28"/>
      <c r="O661" s="28" t="s">
        <v>39</v>
      </c>
      <c r="P661" s="25" t="s">
        <v>20</v>
      </c>
    </row>
    <row r="662" spans="1:16" x14ac:dyDescent="0.25">
      <c r="A662" s="23">
        <f t="shared" si="40"/>
        <v>661</v>
      </c>
      <c r="B662" s="24">
        <v>43140</v>
      </c>
      <c r="C662" s="18" t="str">
        <f t="shared" si="41"/>
        <v>Friday</v>
      </c>
      <c r="D662" s="10" t="str">
        <f t="shared" si="42"/>
        <v>Same</v>
      </c>
      <c r="E662" s="2">
        <v>14.83</v>
      </c>
      <c r="F662" s="2">
        <v>3</v>
      </c>
      <c r="G662" s="1">
        <f t="shared" si="43"/>
        <v>0.20229265003371544</v>
      </c>
      <c r="H662" s="2">
        <v>1.5</v>
      </c>
      <c r="I662" s="26">
        <v>0.80625000000000002</v>
      </c>
      <c r="J662" s="26">
        <v>0.8340277777777777</v>
      </c>
      <c r="K662" s="27">
        <f>Table3[[#This Row],[Delivery Time]]-Table3[[#This Row],[Order Time]]</f>
        <v>2.7777777777777679E-2</v>
      </c>
      <c r="L662" s="43">
        <v>40</v>
      </c>
      <c r="M662" s="25" t="s">
        <v>11</v>
      </c>
      <c r="N662" s="28"/>
      <c r="O662" s="28" t="s">
        <v>40</v>
      </c>
      <c r="P662" s="25" t="s">
        <v>20</v>
      </c>
    </row>
    <row r="663" spans="1:16" x14ac:dyDescent="0.25">
      <c r="A663" s="23">
        <f t="shared" si="40"/>
        <v>662</v>
      </c>
      <c r="B663" s="24">
        <v>43140</v>
      </c>
      <c r="C663" s="18" t="str">
        <f t="shared" si="41"/>
        <v>Friday</v>
      </c>
      <c r="D663" s="10" t="str">
        <f t="shared" si="42"/>
        <v>Same</v>
      </c>
      <c r="E663" s="2">
        <v>118.43</v>
      </c>
      <c r="F663" s="2">
        <v>20</v>
      </c>
      <c r="G663" s="1">
        <f t="shared" si="43"/>
        <v>0.16887612935911508</v>
      </c>
      <c r="H663" s="2">
        <v>1.5</v>
      </c>
      <c r="I663" s="26">
        <v>0.84236111111111101</v>
      </c>
      <c r="J663" s="26">
        <v>0.86249999999999993</v>
      </c>
      <c r="K663" s="27">
        <f>Table3[[#This Row],[Delivery Time]]-Table3[[#This Row],[Order Time]]</f>
        <v>2.0138888888888928E-2</v>
      </c>
      <c r="L663" s="43">
        <v>29.000000000000004</v>
      </c>
      <c r="M663" s="25" t="s">
        <v>11</v>
      </c>
      <c r="N663" s="28"/>
      <c r="O663" s="28" t="s">
        <v>39</v>
      </c>
      <c r="P663" s="25" t="s">
        <v>20</v>
      </c>
    </row>
    <row r="664" spans="1:16" x14ac:dyDescent="0.25">
      <c r="A664" s="23">
        <f t="shared" si="40"/>
        <v>663</v>
      </c>
      <c r="B664" s="24">
        <v>43140</v>
      </c>
      <c r="C664" s="18" t="str">
        <f t="shared" si="41"/>
        <v>Friday</v>
      </c>
      <c r="D664" s="10" t="str">
        <f t="shared" si="42"/>
        <v>Same</v>
      </c>
      <c r="E664" s="2">
        <v>21.05</v>
      </c>
      <c r="F664" s="2">
        <v>3</v>
      </c>
      <c r="G664" s="1">
        <f t="shared" si="43"/>
        <v>0.14251781472684086</v>
      </c>
      <c r="H664" s="2">
        <v>1.5</v>
      </c>
      <c r="I664" s="26">
        <v>0.84861111111111109</v>
      </c>
      <c r="J664" s="26">
        <v>0.87361111111111101</v>
      </c>
      <c r="K664" s="27">
        <f>Table3[[#This Row],[Delivery Time]]-Table3[[#This Row],[Order Time]]</f>
        <v>2.4999999999999911E-2</v>
      </c>
      <c r="L664" s="43">
        <v>36</v>
      </c>
      <c r="M664" s="25" t="s">
        <v>11</v>
      </c>
      <c r="N664" s="28"/>
      <c r="O664" s="28" t="s">
        <v>40</v>
      </c>
      <c r="P664" s="25" t="s">
        <v>20</v>
      </c>
    </row>
    <row r="665" spans="1:16" x14ac:dyDescent="0.25">
      <c r="A665" s="23">
        <f t="shared" si="40"/>
        <v>664</v>
      </c>
      <c r="B665" s="24">
        <v>43141</v>
      </c>
      <c r="C665" s="18" t="str">
        <f t="shared" si="41"/>
        <v>Saturday</v>
      </c>
      <c r="D665" s="10" t="str">
        <f t="shared" si="42"/>
        <v>Different</v>
      </c>
      <c r="E665" s="2">
        <v>48.66</v>
      </c>
      <c r="F665" s="2">
        <v>15</v>
      </c>
      <c r="G665" s="1">
        <f t="shared" si="43"/>
        <v>0.30826140567200988</v>
      </c>
      <c r="H665" s="2">
        <v>1.5</v>
      </c>
      <c r="I665" s="26">
        <v>0.72222222222222221</v>
      </c>
      <c r="J665" s="26">
        <v>0.75208333333333333</v>
      </c>
      <c r="K665" s="27">
        <f>Table3[[#This Row],[Delivery Time]]-Table3[[#This Row],[Order Time]]</f>
        <v>2.9861111111111116E-2</v>
      </c>
      <c r="L665" s="43">
        <v>43</v>
      </c>
      <c r="M665" s="25" t="s">
        <v>0</v>
      </c>
      <c r="N665" s="28"/>
      <c r="O665" s="28" t="s">
        <v>39</v>
      </c>
      <c r="P665" s="25" t="s">
        <v>20</v>
      </c>
    </row>
    <row r="666" spans="1:16" x14ac:dyDescent="0.25">
      <c r="A666" s="23">
        <f t="shared" si="40"/>
        <v>665</v>
      </c>
      <c r="B666" s="24">
        <v>43141</v>
      </c>
      <c r="C666" s="18" t="str">
        <f t="shared" si="41"/>
        <v>Saturday</v>
      </c>
      <c r="D666" s="10" t="str">
        <f t="shared" si="42"/>
        <v>Same</v>
      </c>
      <c r="E666" s="2">
        <v>36.43</v>
      </c>
      <c r="F666" s="2">
        <v>10</v>
      </c>
      <c r="G666" s="1">
        <f t="shared" si="43"/>
        <v>0.27449903925336261</v>
      </c>
      <c r="H666" s="2">
        <v>1.5</v>
      </c>
      <c r="I666" s="26">
        <v>0.73333333333333339</v>
      </c>
      <c r="J666" s="26">
        <v>0.7597222222222223</v>
      </c>
      <c r="K666" s="27">
        <f>Table3[[#This Row],[Delivery Time]]-Table3[[#This Row],[Order Time]]</f>
        <v>2.6388888888888906E-2</v>
      </c>
      <c r="L666" s="43">
        <v>38</v>
      </c>
      <c r="M666" s="25" t="s">
        <v>0</v>
      </c>
      <c r="N666" s="28"/>
      <c r="O666" s="28" t="s">
        <v>39</v>
      </c>
      <c r="P666" s="25" t="s">
        <v>20</v>
      </c>
    </row>
    <row r="667" spans="1:16" x14ac:dyDescent="0.25">
      <c r="A667" s="23">
        <f t="shared" si="40"/>
        <v>666</v>
      </c>
      <c r="B667" s="24">
        <v>43141</v>
      </c>
      <c r="C667" s="18" t="str">
        <f t="shared" si="41"/>
        <v>Saturday</v>
      </c>
      <c r="D667" s="10" t="str">
        <f t="shared" si="42"/>
        <v>Same</v>
      </c>
      <c r="E667" s="2">
        <v>20.239999999999998</v>
      </c>
      <c r="F667" s="2">
        <v>4</v>
      </c>
      <c r="G667" s="1">
        <f t="shared" si="43"/>
        <v>0.19762845849802374</v>
      </c>
      <c r="H667" s="2">
        <v>1.5</v>
      </c>
      <c r="I667" s="26">
        <v>0.76041666666666663</v>
      </c>
      <c r="J667" s="26">
        <v>0.78333333333333333</v>
      </c>
      <c r="K667" s="27">
        <f>Table3[[#This Row],[Delivery Time]]-Table3[[#This Row],[Order Time]]</f>
        <v>2.2916666666666696E-2</v>
      </c>
      <c r="L667" s="43">
        <v>33</v>
      </c>
      <c r="M667" s="25" t="s">
        <v>11</v>
      </c>
      <c r="N667" s="28"/>
      <c r="O667" s="28" t="s">
        <v>39</v>
      </c>
      <c r="P667" s="25" t="s">
        <v>20</v>
      </c>
    </row>
    <row r="668" spans="1:16" x14ac:dyDescent="0.25">
      <c r="A668" s="23">
        <f t="shared" si="40"/>
        <v>667</v>
      </c>
      <c r="B668" s="24">
        <v>43141</v>
      </c>
      <c r="C668" s="18" t="str">
        <f t="shared" si="41"/>
        <v>Saturday</v>
      </c>
      <c r="D668" s="10" t="str">
        <f t="shared" si="42"/>
        <v>Same</v>
      </c>
      <c r="E668" s="2">
        <v>16.77</v>
      </c>
      <c r="F668" s="2">
        <v>5</v>
      </c>
      <c r="G668" s="1">
        <f t="shared" si="43"/>
        <v>0.29815146094215861</v>
      </c>
      <c r="H668" s="2">
        <v>1.5</v>
      </c>
      <c r="I668" s="26">
        <v>0.79652777777777783</v>
      </c>
      <c r="J668" s="26">
        <v>0.81458333333333333</v>
      </c>
      <c r="K668" s="27">
        <f>Table3[[#This Row],[Delivery Time]]-Table3[[#This Row],[Order Time]]</f>
        <v>1.8055555555555491E-2</v>
      </c>
      <c r="L668" s="43">
        <v>26</v>
      </c>
      <c r="M668" s="25" t="s">
        <v>11</v>
      </c>
      <c r="N668" s="28"/>
      <c r="O668" s="28" t="s">
        <v>41</v>
      </c>
      <c r="P668" s="25" t="s">
        <v>20</v>
      </c>
    </row>
    <row r="669" spans="1:16" x14ac:dyDescent="0.25">
      <c r="A669" s="23">
        <f t="shared" si="40"/>
        <v>668</v>
      </c>
      <c r="B669" s="24">
        <v>43141</v>
      </c>
      <c r="C669" s="18" t="str">
        <f t="shared" si="41"/>
        <v>Saturday</v>
      </c>
      <c r="D669" s="10" t="str">
        <f t="shared" si="42"/>
        <v>Same</v>
      </c>
      <c r="E669" s="2">
        <v>23.27</v>
      </c>
      <c r="F669" s="2">
        <v>5</v>
      </c>
      <c r="G669" s="1">
        <f t="shared" si="43"/>
        <v>0.21486892995272883</v>
      </c>
      <c r="H669" s="2">
        <v>1.5</v>
      </c>
      <c r="I669" s="26">
        <v>0.80069444444444438</v>
      </c>
      <c r="J669" s="26">
        <v>0.82152777777777775</v>
      </c>
      <c r="K669" s="27">
        <f>Table3[[#This Row],[Delivery Time]]-Table3[[#This Row],[Order Time]]</f>
        <v>2.083333333333337E-2</v>
      </c>
      <c r="L669" s="43">
        <v>30</v>
      </c>
      <c r="M669" s="25" t="s">
        <v>11</v>
      </c>
      <c r="N669" s="28"/>
      <c r="O669" s="28" t="s">
        <v>40</v>
      </c>
      <c r="P669" s="25" t="s">
        <v>20</v>
      </c>
    </row>
    <row r="670" spans="1:16" x14ac:dyDescent="0.25">
      <c r="A670" s="23">
        <f t="shared" si="40"/>
        <v>669</v>
      </c>
      <c r="B670" s="24">
        <v>43142</v>
      </c>
      <c r="C670" s="18" t="str">
        <f t="shared" si="41"/>
        <v>Sunday</v>
      </c>
      <c r="D670" s="10" t="str">
        <f t="shared" si="42"/>
        <v>Different</v>
      </c>
      <c r="E670" s="2">
        <v>69.77</v>
      </c>
      <c r="F670" s="2">
        <v>5</v>
      </c>
      <c r="G670" s="1">
        <f t="shared" si="43"/>
        <v>7.1664038985237211E-2</v>
      </c>
      <c r="H670" s="2">
        <v>1.5</v>
      </c>
      <c r="I670" s="26">
        <v>0.71250000000000002</v>
      </c>
      <c r="J670" s="26">
        <v>0.73541666666666661</v>
      </c>
      <c r="K670" s="27">
        <f>Table3[[#This Row],[Delivery Time]]-Table3[[#This Row],[Order Time]]</f>
        <v>2.2916666666666585E-2</v>
      </c>
      <c r="L670" s="43">
        <v>33</v>
      </c>
      <c r="M670" s="25" t="s">
        <v>0</v>
      </c>
      <c r="N670" s="28" t="s">
        <v>22</v>
      </c>
      <c r="O670" s="28" t="s">
        <v>39</v>
      </c>
      <c r="P670" s="25" t="s">
        <v>20</v>
      </c>
    </row>
    <row r="671" spans="1:16" x14ac:dyDescent="0.25">
      <c r="A671" s="23">
        <f t="shared" si="40"/>
        <v>670</v>
      </c>
      <c r="B671" s="24">
        <v>43142</v>
      </c>
      <c r="C671" s="18" t="str">
        <f t="shared" si="41"/>
        <v>Sunday</v>
      </c>
      <c r="D671" s="10" t="str">
        <f t="shared" si="42"/>
        <v>Same</v>
      </c>
      <c r="E671" s="2">
        <v>22.19</v>
      </c>
      <c r="F671" s="2">
        <v>0</v>
      </c>
      <c r="G671" s="1">
        <f t="shared" si="43"/>
        <v>0</v>
      </c>
      <c r="H671" s="2">
        <v>1.5</v>
      </c>
      <c r="I671" s="26">
        <v>0.73749999999999993</v>
      </c>
      <c r="J671" s="26">
        <v>0.77083333333333337</v>
      </c>
      <c r="K671" s="27">
        <f>Table3[[#This Row],[Delivery Time]]-Table3[[#This Row],[Order Time]]</f>
        <v>3.3333333333333437E-2</v>
      </c>
      <c r="L671" s="43">
        <v>48</v>
      </c>
      <c r="M671" s="25" t="s">
        <v>0</v>
      </c>
      <c r="N671" s="28" t="s">
        <v>26</v>
      </c>
      <c r="O671" s="28" t="s">
        <v>39</v>
      </c>
      <c r="P671" s="25" t="s">
        <v>20</v>
      </c>
    </row>
    <row r="672" spans="1:16" x14ac:dyDescent="0.25">
      <c r="A672" s="23">
        <f t="shared" si="40"/>
        <v>671</v>
      </c>
      <c r="B672" s="24">
        <v>43142</v>
      </c>
      <c r="C672" s="18" t="str">
        <f t="shared" si="41"/>
        <v>Sunday</v>
      </c>
      <c r="D672" s="10" t="str">
        <f t="shared" si="42"/>
        <v>Same</v>
      </c>
      <c r="E672" s="2">
        <v>50.88</v>
      </c>
      <c r="F672" s="2">
        <v>10</v>
      </c>
      <c r="G672" s="1">
        <f t="shared" si="43"/>
        <v>0.19654088050314464</v>
      </c>
      <c r="H672" s="2">
        <v>5</v>
      </c>
      <c r="I672" s="26">
        <v>0.74444444444444446</v>
      </c>
      <c r="J672" s="26">
        <v>0.77916666666666667</v>
      </c>
      <c r="K672" s="27">
        <f>Table3[[#This Row],[Delivery Time]]-Table3[[#This Row],[Order Time]]</f>
        <v>3.472222222222221E-2</v>
      </c>
      <c r="L672" s="43">
        <v>50</v>
      </c>
      <c r="M672" s="25" t="s">
        <v>12</v>
      </c>
      <c r="N672" s="28"/>
      <c r="O672" s="28" t="s">
        <v>39</v>
      </c>
      <c r="P672" s="25" t="s">
        <v>20</v>
      </c>
    </row>
    <row r="673" spans="1:16" x14ac:dyDescent="0.25">
      <c r="A673" s="23">
        <f t="shared" si="40"/>
        <v>672</v>
      </c>
      <c r="B673" s="24">
        <v>43142</v>
      </c>
      <c r="C673" s="18" t="str">
        <f t="shared" si="41"/>
        <v>Sunday</v>
      </c>
      <c r="D673" s="10" t="str">
        <f t="shared" si="42"/>
        <v>Same</v>
      </c>
      <c r="E673" s="2">
        <v>64.63</v>
      </c>
      <c r="F673" s="2">
        <v>15</v>
      </c>
      <c r="G673" s="1">
        <f t="shared" si="43"/>
        <v>0.23209036051369336</v>
      </c>
      <c r="H673" s="2">
        <v>1.5</v>
      </c>
      <c r="I673" s="26">
        <v>0.79166666666666663</v>
      </c>
      <c r="J673" s="26">
        <v>0.82291666666666663</v>
      </c>
      <c r="K673" s="27">
        <f>Table3[[#This Row],[Delivery Time]]-Table3[[#This Row],[Order Time]]</f>
        <v>3.125E-2</v>
      </c>
      <c r="L673" s="43">
        <v>45</v>
      </c>
      <c r="M673" s="25" t="s">
        <v>0</v>
      </c>
      <c r="N673" s="28" t="s">
        <v>22</v>
      </c>
      <c r="O673" s="28" t="s">
        <v>39</v>
      </c>
      <c r="P673" s="25" t="s">
        <v>20</v>
      </c>
    </row>
    <row r="674" spans="1:16" x14ac:dyDescent="0.25">
      <c r="A674" s="23">
        <f t="shared" si="40"/>
        <v>673</v>
      </c>
      <c r="B674" s="24">
        <v>43142</v>
      </c>
      <c r="C674" s="18" t="str">
        <f t="shared" si="41"/>
        <v>Sunday</v>
      </c>
      <c r="D674" s="10" t="str">
        <f t="shared" si="42"/>
        <v>Same</v>
      </c>
      <c r="E674" s="2">
        <v>46.55</v>
      </c>
      <c r="F674" s="2">
        <v>6</v>
      </c>
      <c r="G674" s="1">
        <f t="shared" si="43"/>
        <v>0.1288936627282492</v>
      </c>
      <c r="H674" s="2">
        <v>1.5</v>
      </c>
      <c r="I674" s="26">
        <v>0.8027777777777777</v>
      </c>
      <c r="J674" s="26">
        <v>0.82916666666666661</v>
      </c>
      <c r="K674" s="27">
        <f>Table3[[#This Row],[Delivery Time]]-Table3[[#This Row],[Order Time]]</f>
        <v>2.6388888888888906E-2</v>
      </c>
      <c r="L674" s="43">
        <v>38</v>
      </c>
      <c r="M674" s="25" t="s">
        <v>0</v>
      </c>
      <c r="N674" s="28"/>
      <c r="O674" s="28" t="s">
        <v>39</v>
      </c>
      <c r="P674" s="25" t="s">
        <v>20</v>
      </c>
    </row>
    <row r="675" spans="1:16" x14ac:dyDescent="0.25">
      <c r="A675" s="23">
        <f t="shared" si="40"/>
        <v>674</v>
      </c>
      <c r="B675" s="24">
        <v>43147</v>
      </c>
      <c r="C675" s="18" t="str">
        <f t="shared" si="41"/>
        <v>Friday</v>
      </c>
      <c r="D675" s="10" t="str">
        <f t="shared" si="42"/>
        <v>Different</v>
      </c>
      <c r="E675" s="2">
        <v>72.5</v>
      </c>
      <c r="F675" s="2">
        <v>20</v>
      </c>
      <c r="G675" s="1">
        <f t="shared" si="43"/>
        <v>0.27586206896551724</v>
      </c>
      <c r="H675" s="2">
        <v>1.5</v>
      </c>
      <c r="I675" s="26">
        <v>0.7006944444444444</v>
      </c>
      <c r="J675" s="26">
        <v>0.73263888888888884</v>
      </c>
      <c r="K675" s="27">
        <f>Table3[[#This Row],[Delivery Time]]-Table3[[#This Row],[Order Time]]</f>
        <v>3.1944444444444442E-2</v>
      </c>
      <c r="L675" s="43">
        <v>46.000000000000007</v>
      </c>
      <c r="M675" s="25" t="s">
        <v>0</v>
      </c>
      <c r="N675" s="28" t="s">
        <v>22</v>
      </c>
      <c r="O675" s="28" t="s">
        <v>39</v>
      </c>
      <c r="P675" s="25" t="s">
        <v>20</v>
      </c>
    </row>
    <row r="676" spans="1:16" x14ac:dyDescent="0.25">
      <c r="A676" s="23">
        <f t="shared" si="40"/>
        <v>675</v>
      </c>
      <c r="B676" s="24">
        <v>43147</v>
      </c>
      <c r="C676" s="18" t="str">
        <f t="shared" si="41"/>
        <v>Friday</v>
      </c>
      <c r="D676" s="10" t="str">
        <f t="shared" si="42"/>
        <v>Same</v>
      </c>
      <c r="E676" s="2">
        <v>52.18</v>
      </c>
      <c r="F676" s="2">
        <v>27.82</v>
      </c>
      <c r="G676" s="1">
        <f t="shared" si="43"/>
        <v>0.5331544653123802</v>
      </c>
      <c r="H676" s="2">
        <v>5</v>
      </c>
      <c r="I676" s="26">
        <v>0.69305555555555554</v>
      </c>
      <c r="J676" s="26">
        <v>0.74097222222222225</v>
      </c>
      <c r="K676" s="27">
        <f>Table3[[#This Row],[Delivery Time]]-Table3[[#This Row],[Order Time]]</f>
        <v>4.7916666666666718E-2</v>
      </c>
      <c r="L676" s="43">
        <v>69</v>
      </c>
      <c r="M676" s="25" t="s">
        <v>0</v>
      </c>
      <c r="N676" s="28"/>
      <c r="O676" s="28" t="s">
        <v>39</v>
      </c>
      <c r="P676" s="25" t="s">
        <v>20</v>
      </c>
    </row>
    <row r="677" spans="1:16" x14ac:dyDescent="0.25">
      <c r="A677" s="23">
        <f t="shared" si="40"/>
        <v>676</v>
      </c>
      <c r="B677" s="24">
        <v>43147</v>
      </c>
      <c r="C677" s="18" t="str">
        <f t="shared" si="41"/>
        <v>Friday</v>
      </c>
      <c r="D677" s="10" t="str">
        <f t="shared" si="42"/>
        <v>Same</v>
      </c>
      <c r="E677" s="2">
        <v>53.38</v>
      </c>
      <c r="F677" s="2">
        <v>10</v>
      </c>
      <c r="G677" s="1">
        <f t="shared" si="43"/>
        <v>0.18733608092918697</v>
      </c>
      <c r="H677" s="2">
        <v>5</v>
      </c>
      <c r="I677" s="26">
        <v>0.70208333333333339</v>
      </c>
      <c r="J677" s="26">
        <v>0.74652777777777779</v>
      </c>
      <c r="K677" s="27">
        <f>Table3[[#This Row],[Delivery Time]]-Table3[[#This Row],[Order Time]]</f>
        <v>4.4444444444444398E-2</v>
      </c>
      <c r="L677" s="43">
        <v>64</v>
      </c>
      <c r="M677" s="25" t="s">
        <v>0</v>
      </c>
      <c r="N677" s="28"/>
      <c r="O677" s="28" t="s">
        <v>39</v>
      </c>
      <c r="P677" s="25" t="s">
        <v>20</v>
      </c>
    </row>
    <row r="678" spans="1:16" x14ac:dyDescent="0.25">
      <c r="A678" s="23">
        <f t="shared" si="40"/>
        <v>677</v>
      </c>
      <c r="B678" s="24">
        <v>43147</v>
      </c>
      <c r="C678" s="18" t="str">
        <f t="shared" si="41"/>
        <v>Friday</v>
      </c>
      <c r="D678" s="10" t="str">
        <f t="shared" si="42"/>
        <v>Same</v>
      </c>
      <c r="E678" s="2">
        <v>84.06</v>
      </c>
      <c r="F678" s="2">
        <v>10</v>
      </c>
      <c r="G678" s="1">
        <f t="shared" si="43"/>
        <v>0.11896264572924102</v>
      </c>
      <c r="H678" s="2">
        <v>5</v>
      </c>
      <c r="I678" s="26">
        <v>0.78125</v>
      </c>
      <c r="J678" s="26">
        <v>0.81041666666666667</v>
      </c>
      <c r="K678" s="27">
        <f>Table3[[#This Row],[Delivery Time]]-Table3[[#This Row],[Order Time]]</f>
        <v>2.9166666666666674E-2</v>
      </c>
      <c r="L678" s="43">
        <v>42</v>
      </c>
      <c r="M678" s="25" t="s">
        <v>0</v>
      </c>
      <c r="N678" s="28"/>
      <c r="O678" s="28" t="s">
        <v>39</v>
      </c>
      <c r="P678" s="25" t="s">
        <v>20</v>
      </c>
    </row>
    <row r="679" spans="1:16" x14ac:dyDescent="0.25">
      <c r="A679" s="23">
        <f t="shared" si="40"/>
        <v>678</v>
      </c>
      <c r="B679" s="24">
        <v>43147</v>
      </c>
      <c r="C679" s="18" t="str">
        <f t="shared" si="41"/>
        <v>Friday</v>
      </c>
      <c r="D679" s="10" t="str">
        <f t="shared" si="42"/>
        <v>Same</v>
      </c>
      <c r="E679" s="2">
        <v>46.49</v>
      </c>
      <c r="F679" s="2">
        <v>7.51</v>
      </c>
      <c r="G679" s="1">
        <f t="shared" si="43"/>
        <v>0.16154011615401159</v>
      </c>
      <c r="H679" s="2">
        <v>5</v>
      </c>
      <c r="I679" s="26">
        <v>0.78611111111111109</v>
      </c>
      <c r="J679" s="26">
        <v>0.8208333333333333</v>
      </c>
      <c r="K679" s="27">
        <f>Table3[[#This Row],[Delivery Time]]-Table3[[#This Row],[Order Time]]</f>
        <v>3.472222222222221E-2</v>
      </c>
      <c r="L679" s="43">
        <v>50</v>
      </c>
      <c r="M679" s="25" t="s">
        <v>0</v>
      </c>
      <c r="N679" s="28"/>
      <c r="O679" s="28" t="s">
        <v>39</v>
      </c>
      <c r="P679" s="25" t="s">
        <v>20</v>
      </c>
    </row>
    <row r="680" spans="1:16" x14ac:dyDescent="0.25">
      <c r="A680" s="23">
        <f t="shared" si="40"/>
        <v>679</v>
      </c>
      <c r="B680" s="24">
        <v>43147</v>
      </c>
      <c r="C680" s="18" t="str">
        <f t="shared" si="41"/>
        <v>Friday</v>
      </c>
      <c r="D680" s="10" t="str">
        <f t="shared" si="42"/>
        <v>Same</v>
      </c>
      <c r="E680" s="2">
        <v>46.55</v>
      </c>
      <c r="F680" s="2">
        <v>10</v>
      </c>
      <c r="G680" s="1">
        <f t="shared" si="43"/>
        <v>0.21482277121374868</v>
      </c>
      <c r="H680" s="2">
        <v>1.5</v>
      </c>
      <c r="I680" s="26">
        <v>0.78819444444444453</v>
      </c>
      <c r="J680" s="26">
        <v>0.83124999999999993</v>
      </c>
      <c r="K680" s="27">
        <f>Table3[[#This Row],[Delivery Time]]-Table3[[#This Row],[Order Time]]</f>
        <v>4.3055555555555403E-2</v>
      </c>
      <c r="L680" s="43">
        <v>62.000000000000007</v>
      </c>
      <c r="M680" s="25" t="s">
        <v>0</v>
      </c>
      <c r="N680" s="28"/>
      <c r="O680" s="28" t="s">
        <v>39</v>
      </c>
      <c r="P680" s="25" t="s">
        <v>20</v>
      </c>
    </row>
    <row r="681" spans="1:16" x14ac:dyDescent="0.25">
      <c r="A681" s="23">
        <f t="shared" si="40"/>
        <v>680</v>
      </c>
      <c r="B681" s="24">
        <v>43147</v>
      </c>
      <c r="C681" s="18" t="str">
        <f t="shared" si="41"/>
        <v>Friday</v>
      </c>
      <c r="D681" s="10" t="str">
        <f t="shared" si="42"/>
        <v>Same</v>
      </c>
      <c r="E681" s="2">
        <v>38.43</v>
      </c>
      <c r="F681" s="2">
        <v>10</v>
      </c>
      <c r="G681" s="1">
        <f t="shared" si="43"/>
        <v>0.26021337496747332</v>
      </c>
      <c r="H681" s="2">
        <v>1.5</v>
      </c>
      <c r="I681" s="26">
        <v>0.78749999999999998</v>
      </c>
      <c r="J681" s="26">
        <v>0.83888888888888891</v>
      </c>
      <c r="K681" s="27">
        <f>Table3[[#This Row],[Delivery Time]]-Table3[[#This Row],[Order Time]]</f>
        <v>5.1388888888888928E-2</v>
      </c>
      <c r="L681" s="43">
        <v>74</v>
      </c>
      <c r="M681" s="25" t="s">
        <v>0</v>
      </c>
      <c r="N681" s="28" t="s">
        <v>24</v>
      </c>
      <c r="O681" s="28" t="s">
        <v>39</v>
      </c>
      <c r="P681" s="25" t="s">
        <v>20</v>
      </c>
    </row>
    <row r="682" spans="1:16" x14ac:dyDescent="0.25">
      <c r="A682" s="23">
        <f t="shared" si="40"/>
        <v>681</v>
      </c>
      <c r="B682" s="24">
        <v>43149</v>
      </c>
      <c r="C682" s="18" t="str">
        <f t="shared" si="41"/>
        <v>Sunday</v>
      </c>
      <c r="D682" s="10" t="str">
        <f t="shared" si="42"/>
        <v>Different</v>
      </c>
      <c r="E682" s="2">
        <v>36.75</v>
      </c>
      <c r="F682" s="2">
        <v>4</v>
      </c>
      <c r="G682" s="1">
        <f t="shared" si="43"/>
        <v>0.10884353741496598</v>
      </c>
      <c r="H682" s="2">
        <v>1.5</v>
      </c>
      <c r="I682" s="26">
        <v>0.69652777777777775</v>
      </c>
      <c r="J682" s="26">
        <v>0.72430555555555554</v>
      </c>
      <c r="K682" s="27">
        <f>Table3[[#This Row],[Delivery Time]]-Table3[[#This Row],[Order Time]]</f>
        <v>2.777777777777779E-2</v>
      </c>
      <c r="L682" s="43">
        <v>40</v>
      </c>
      <c r="M682" s="25" t="s">
        <v>11</v>
      </c>
      <c r="N682" s="28"/>
      <c r="O682" s="28" t="s">
        <v>39</v>
      </c>
      <c r="P682" s="25" t="s">
        <v>20</v>
      </c>
    </row>
    <row r="683" spans="1:16" x14ac:dyDescent="0.25">
      <c r="A683" s="23">
        <f t="shared" si="40"/>
        <v>682</v>
      </c>
      <c r="B683" s="24">
        <v>43149</v>
      </c>
      <c r="C683" s="18" t="str">
        <f t="shared" si="41"/>
        <v>Sunday</v>
      </c>
      <c r="D683" s="10" t="str">
        <f t="shared" si="42"/>
        <v>Same</v>
      </c>
      <c r="E683" s="2">
        <v>20.239999999999998</v>
      </c>
      <c r="F683" s="2">
        <v>5</v>
      </c>
      <c r="G683" s="1">
        <f t="shared" si="43"/>
        <v>0.24703557312252966</v>
      </c>
      <c r="H683" s="2">
        <v>1.5</v>
      </c>
      <c r="I683" s="26">
        <v>0.69930555555555562</v>
      </c>
      <c r="J683" s="26">
        <v>0.73263888888888884</v>
      </c>
      <c r="K683" s="27">
        <f>Table3[[#This Row],[Delivery Time]]-Table3[[#This Row],[Order Time]]</f>
        <v>3.3333333333333215E-2</v>
      </c>
      <c r="L683" s="43">
        <v>48</v>
      </c>
      <c r="M683" s="25" t="s">
        <v>11</v>
      </c>
      <c r="N683" s="28"/>
      <c r="O683" s="28" t="s">
        <v>39</v>
      </c>
      <c r="P683" s="25" t="s">
        <v>20</v>
      </c>
    </row>
    <row r="684" spans="1:16" x14ac:dyDescent="0.25">
      <c r="A684" s="23">
        <f t="shared" si="40"/>
        <v>683</v>
      </c>
      <c r="B684" s="24">
        <v>43149</v>
      </c>
      <c r="C684" s="18" t="str">
        <f t="shared" si="41"/>
        <v>Sunday</v>
      </c>
      <c r="D684" s="10" t="str">
        <f t="shared" si="42"/>
        <v>Same</v>
      </c>
      <c r="E684" s="2">
        <v>41.95</v>
      </c>
      <c r="F684" s="2">
        <v>8.0500000000000007</v>
      </c>
      <c r="G684" s="1">
        <f t="shared" si="43"/>
        <v>0.19189511323003577</v>
      </c>
      <c r="H684" s="2">
        <v>1.5</v>
      </c>
      <c r="I684" s="26">
        <v>0.7090277777777777</v>
      </c>
      <c r="J684" s="26">
        <v>0.73819444444444438</v>
      </c>
      <c r="K684" s="27">
        <f>Table3[[#This Row],[Delivery Time]]-Table3[[#This Row],[Order Time]]</f>
        <v>2.9166666666666674E-2</v>
      </c>
      <c r="L684" s="43">
        <v>42</v>
      </c>
      <c r="M684" s="25" t="s">
        <v>11</v>
      </c>
      <c r="N684" s="28"/>
      <c r="O684" s="28" t="s">
        <v>41</v>
      </c>
      <c r="P684" s="25" t="s">
        <v>20</v>
      </c>
    </row>
    <row r="685" spans="1:16" x14ac:dyDescent="0.25">
      <c r="A685" s="23">
        <f t="shared" si="40"/>
        <v>684</v>
      </c>
      <c r="B685" s="24">
        <v>43149</v>
      </c>
      <c r="C685" s="18" t="str">
        <f t="shared" si="41"/>
        <v>Sunday</v>
      </c>
      <c r="D685" s="10" t="str">
        <f t="shared" si="42"/>
        <v>Same</v>
      </c>
      <c r="E685" s="2">
        <v>60.3</v>
      </c>
      <c r="F685" s="2">
        <v>8</v>
      </c>
      <c r="G685" s="1">
        <f t="shared" si="43"/>
        <v>0.13266998341625208</v>
      </c>
      <c r="H685" s="2">
        <v>5</v>
      </c>
      <c r="I685" s="26">
        <v>0.76111111111111107</v>
      </c>
      <c r="J685" s="26">
        <v>0.7909722222222223</v>
      </c>
      <c r="K685" s="27">
        <f>Table3[[#This Row],[Delivery Time]]-Table3[[#This Row],[Order Time]]</f>
        <v>2.9861111111111227E-2</v>
      </c>
      <c r="L685" s="43">
        <v>43</v>
      </c>
      <c r="M685" s="25" t="s">
        <v>0</v>
      </c>
      <c r="N685" s="28"/>
      <c r="O685" s="28" t="s">
        <v>39</v>
      </c>
      <c r="P685" s="25" t="s">
        <v>20</v>
      </c>
    </row>
    <row r="686" spans="1:16" x14ac:dyDescent="0.25">
      <c r="A686" s="23">
        <f t="shared" si="40"/>
        <v>685</v>
      </c>
      <c r="B686" s="24">
        <v>43149</v>
      </c>
      <c r="C686" s="18" t="str">
        <f t="shared" si="41"/>
        <v>Sunday</v>
      </c>
      <c r="D686" s="10" t="str">
        <f t="shared" si="42"/>
        <v>Same</v>
      </c>
      <c r="E686" s="2">
        <v>31.07</v>
      </c>
      <c r="F686" s="2">
        <v>5</v>
      </c>
      <c r="G686" s="1">
        <f t="shared" si="43"/>
        <v>0.16092693916961701</v>
      </c>
      <c r="H686" s="2">
        <v>1.5</v>
      </c>
      <c r="I686" s="26">
        <v>0.76458333333333339</v>
      </c>
      <c r="J686" s="26">
        <v>0.80069444444444438</v>
      </c>
      <c r="K686" s="27">
        <f>Table3[[#This Row],[Delivery Time]]-Table3[[#This Row],[Order Time]]</f>
        <v>3.6111111111110983E-2</v>
      </c>
      <c r="L686" s="43">
        <v>52</v>
      </c>
      <c r="M686" s="25" t="s">
        <v>0</v>
      </c>
      <c r="N686" s="28"/>
      <c r="O686" s="28" t="s">
        <v>39</v>
      </c>
      <c r="P686" s="25" t="s">
        <v>20</v>
      </c>
    </row>
    <row r="687" spans="1:16" x14ac:dyDescent="0.25">
      <c r="A687" s="23">
        <f t="shared" si="40"/>
        <v>686</v>
      </c>
      <c r="B687" s="24">
        <v>43149</v>
      </c>
      <c r="C687" s="18" t="str">
        <f t="shared" si="41"/>
        <v>Sunday</v>
      </c>
      <c r="D687" s="10" t="str">
        <f t="shared" si="42"/>
        <v>Same</v>
      </c>
      <c r="E687" s="2">
        <v>33.5</v>
      </c>
      <c r="F687" s="2">
        <v>11.5</v>
      </c>
      <c r="G687" s="1">
        <f t="shared" si="43"/>
        <v>0.34328358208955223</v>
      </c>
      <c r="H687" s="2">
        <v>1.5</v>
      </c>
      <c r="I687" s="26">
        <v>0.79236111111111107</v>
      </c>
      <c r="J687" s="26">
        <v>0.82013888888888886</v>
      </c>
      <c r="K687" s="27">
        <f>Table3[[#This Row],[Delivery Time]]-Table3[[#This Row],[Order Time]]</f>
        <v>2.777777777777779E-2</v>
      </c>
      <c r="L687" s="43">
        <v>40</v>
      </c>
      <c r="M687" s="25" t="s">
        <v>11</v>
      </c>
      <c r="N687" s="28"/>
      <c r="O687" s="28" t="s">
        <v>39</v>
      </c>
      <c r="P687" s="25" t="s">
        <v>20</v>
      </c>
    </row>
    <row r="688" spans="1:16" x14ac:dyDescent="0.25">
      <c r="A688" s="23">
        <f t="shared" si="40"/>
        <v>687</v>
      </c>
      <c r="B688" s="24">
        <v>43149</v>
      </c>
      <c r="C688" s="18" t="str">
        <f t="shared" si="41"/>
        <v>Sunday</v>
      </c>
      <c r="D688" s="10" t="str">
        <f t="shared" si="42"/>
        <v>Same</v>
      </c>
      <c r="E688" s="2">
        <v>49.8</v>
      </c>
      <c r="F688" s="2">
        <v>5</v>
      </c>
      <c r="G688" s="1">
        <f t="shared" si="43"/>
        <v>0.10040160642570281</v>
      </c>
      <c r="H688" s="2">
        <v>1.5</v>
      </c>
      <c r="I688" s="26">
        <v>0.82291666666666663</v>
      </c>
      <c r="J688" s="26">
        <v>0.84236111111111101</v>
      </c>
      <c r="K688" s="27">
        <f>Table3[[#This Row],[Delivery Time]]-Table3[[#This Row],[Order Time]]</f>
        <v>1.9444444444444375E-2</v>
      </c>
      <c r="L688" s="43">
        <v>28</v>
      </c>
      <c r="M688" s="25" t="s">
        <v>0</v>
      </c>
      <c r="N688" s="28"/>
      <c r="O688" s="28" t="s">
        <v>39</v>
      </c>
      <c r="P688" s="25" t="s">
        <v>20</v>
      </c>
    </row>
    <row r="689" spans="1:16" x14ac:dyDescent="0.25">
      <c r="A689" s="23">
        <f t="shared" si="40"/>
        <v>688</v>
      </c>
      <c r="B689" s="24">
        <v>43149</v>
      </c>
      <c r="C689" s="18" t="str">
        <f t="shared" si="41"/>
        <v>Sunday</v>
      </c>
      <c r="D689" s="10" t="str">
        <f t="shared" si="42"/>
        <v>Same</v>
      </c>
      <c r="E689" s="2">
        <v>18.399999999999999</v>
      </c>
      <c r="F689" s="2">
        <v>5</v>
      </c>
      <c r="G689" s="1">
        <f t="shared" si="43"/>
        <v>0.27173913043478265</v>
      </c>
      <c r="H689" s="2">
        <v>1.5</v>
      </c>
      <c r="I689" s="26">
        <v>0.84305555555555556</v>
      </c>
      <c r="J689" s="26">
        <v>0.87291666666666667</v>
      </c>
      <c r="K689" s="27">
        <f>Table3[[#This Row],[Delivery Time]]-Table3[[#This Row],[Order Time]]</f>
        <v>2.9861111111111116E-2</v>
      </c>
      <c r="L689" s="43">
        <v>43</v>
      </c>
      <c r="M689" s="25" t="s">
        <v>11</v>
      </c>
      <c r="N689" s="28"/>
      <c r="O689" s="28" t="s">
        <v>39</v>
      </c>
      <c r="P689" s="25" t="s">
        <v>20</v>
      </c>
    </row>
    <row r="690" spans="1:16" x14ac:dyDescent="0.25">
      <c r="A690" s="23">
        <f t="shared" si="40"/>
        <v>689</v>
      </c>
      <c r="B690" s="24">
        <v>43154</v>
      </c>
      <c r="C690" s="18" t="str">
        <f t="shared" si="41"/>
        <v>Friday</v>
      </c>
      <c r="D690" s="10" t="str">
        <f t="shared" si="42"/>
        <v>Different</v>
      </c>
      <c r="E690" s="2">
        <v>39.19</v>
      </c>
      <c r="F690" s="2">
        <v>6</v>
      </c>
      <c r="G690" s="1">
        <f t="shared" si="43"/>
        <v>0.15310028068384793</v>
      </c>
      <c r="H690" s="2">
        <v>5</v>
      </c>
      <c r="I690" s="26">
        <v>0.72916666666666663</v>
      </c>
      <c r="J690" s="26">
        <v>0.72916666666666663</v>
      </c>
      <c r="K690" s="27">
        <f>Table3[[#This Row],[Delivery Time]]-Table3[[#This Row],[Order Time]]</f>
        <v>0</v>
      </c>
      <c r="L690" s="43">
        <v>0</v>
      </c>
      <c r="M690" s="25" t="s">
        <v>0</v>
      </c>
      <c r="N690" s="28"/>
      <c r="O690" s="28" t="s">
        <v>39</v>
      </c>
      <c r="P690" s="25" t="s">
        <v>16</v>
      </c>
    </row>
    <row r="691" spans="1:16" x14ac:dyDescent="0.25">
      <c r="A691" s="23">
        <f t="shared" si="40"/>
        <v>690</v>
      </c>
      <c r="B691" s="24">
        <v>43154</v>
      </c>
      <c r="C691" s="18" t="str">
        <f t="shared" si="41"/>
        <v>Friday</v>
      </c>
      <c r="D691" s="10" t="str">
        <f t="shared" si="42"/>
        <v>Same</v>
      </c>
      <c r="E691" s="2">
        <v>35.4</v>
      </c>
      <c r="F691" s="2">
        <v>6</v>
      </c>
      <c r="G691" s="1">
        <f t="shared" si="43"/>
        <v>0.16949152542372883</v>
      </c>
      <c r="H691" s="2">
        <v>5</v>
      </c>
      <c r="I691" s="26">
        <v>0.7090277777777777</v>
      </c>
      <c r="J691" s="26">
        <v>0.74305555555555547</v>
      </c>
      <c r="K691" s="27">
        <f>Table3[[#This Row],[Delivery Time]]-Table3[[#This Row],[Order Time]]</f>
        <v>3.4027777777777768E-2</v>
      </c>
      <c r="L691" s="43">
        <v>49</v>
      </c>
      <c r="M691" s="25" t="s">
        <v>0</v>
      </c>
      <c r="N691" s="28"/>
      <c r="O691" s="28" t="s">
        <v>39</v>
      </c>
      <c r="P691" s="25" t="s">
        <v>20</v>
      </c>
    </row>
    <row r="692" spans="1:16" x14ac:dyDescent="0.25">
      <c r="A692" s="23">
        <f t="shared" si="40"/>
        <v>691</v>
      </c>
      <c r="B692" s="24">
        <v>43154</v>
      </c>
      <c r="C692" s="18" t="str">
        <f t="shared" si="41"/>
        <v>Friday</v>
      </c>
      <c r="D692" s="10" t="str">
        <f t="shared" si="42"/>
        <v>Same</v>
      </c>
      <c r="E692" s="2">
        <v>61.27</v>
      </c>
      <c r="F692" s="2">
        <v>12</v>
      </c>
      <c r="G692" s="1">
        <f t="shared" si="43"/>
        <v>0.19585441488493552</v>
      </c>
      <c r="H692" s="2">
        <v>5</v>
      </c>
      <c r="I692" s="26">
        <v>0.71319444444444446</v>
      </c>
      <c r="J692" s="26">
        <v>0.75347222222222221</v>
      </c>
      <c r="K692" s="27">
        <f>Table3[[#This Row],[Delivery Time]]-Table3[[#This Row],[Order Time]]</f>
        <v>4.0277777777777746E-2</v>
      </c>
      <c r="L692" s="43">
        <v>58.000000000000007</v>
      </c>
      <c r="M692" s="25" t="s">
        <v>0</v>
      </c>
      <c r="N692" s="28"/>
      <c r="O692" s="28" t="s">
        <v>39</v>
      </c>
      <c r="P692" s="25" t="s">
        <v>20</v>
      </c>
    </row>
    <row r="693" spans="1:16" x14ac:dyDescent="0.25">
      <c r="A693" s="23">
        <f t="shared" si="40"/>
        <v>692</v>
      </c>
      <c r="B693" s="24">
        <v>43154</v>
      </c>
      <c r="C693" s="18" t="str">
        <f t="shared" si="41"/>
        <v>Friday</v>
      </c>
      <c r="D693" s="10" t="str">
        <f t="shared" si="42"/>
        <v>Same</v>
      </c>
      <c r="E693" s="2">
        <v>28.63</v>
      </c>
      <c r="F693" s="2">
        <v>8</v>
      </c>
      <c r="G693" s="1">
        <f t="shared" si="43"/>
        <v>0.27942717429269998</v>
      </c>
      <c r="H693" s="2">
        <v>1.5</v>
      </c>
      <c r="I693" s="26">
        <v>0.78611111111111109</v>
      </c>
      <c r="J693" s="26">
        <v>0.81180555555555556</v>
      </c>
      <c r="K693" s="27">
        <f>Table3[[#This Row],[Delivery Time]]-Table3[[#This Row],[Order Time]]</f>
        <v>2.5694444444444464E-2</v>
      </c>
      <c r="L693" s="43">
        <v>37</v>
      </c>
      <c r="M693" s="25" t="s">
        <v>0</v>
      </c>
      <c r="N693" s="28"/>
      <c r="O693" s="28" t="s">
        <v>39</v>
      </c>
      <c r="P693" s="25" t="s">
        <v>20</v>
      </c>
    </row>
    <row r="694" spans="1:16" x14ac:dyDescent="0.25">
      <c r="A694" s="23">
        <f t="shared" si="40"/>
        <v>693</v>
      </c>
      <c r="B694" s="24">
        <v>43154</v>
      </c>
      <c r="C694" s="18" t="str">
        <f t="shared" si="41"/>
        <v>Friday</v>
      </c>
      <c r="D694" s="10" t="str">
        <f t="shared" si="42"/>
        <v>Same</v>
      </c>
      <c r="E694" s="2">
        <v>23.76</v>
      </c>
      <c r="F694" s="2">
        <v>4</v>
      </c>
      <c r="G694" s="1">
        <f t="shared" si="43"/>
        <v>0.16835016835016833</v>
      </c>
      <c r="H694" s="2">
        <v>1.5</v>
      </c>
      <c r="I694" s="26">
        <v>0.79375000000000007</v>
      </c>
      <c r="J694" s="26">
        <v>0.81805555555555554</v>
      </c>
      <c r="K694" s="27">
        <f>Table3[[#This Row],[Delivery Time]]-Table3[[#This Row],[Order Time]]</f>
        <v>2.4305555555555469E-2</v>
      </c>
      <c r="L694" s="43">
        <v>35</v>
      </c>
      <c r="M694" s="25" t="s">
        <v>0</v>
      </c>
      <c r="N694" s="28"/>
      <c r="O694" s="28" t="s">
        <v>39</v>
      </c>
      <c r="P694" s="25" t="s">
        <v>20</v>
      </c>
    </row>
    <row r="695" spans="1:16" x14ac:dyDescent="0.25">
      <c r="A695" s="23">
        <f t="shared" si="40"/>
        <v>694</v>
      </c>
      <c r="B695" s="24">
        <v>43154</v>
      </c>
      <c r="C695" s="18" t="str">
        <f t="shared" si="41"/>
        <v>Friday</v>
      </c>
      <c r="D695" s="10" t="str">
        <f t="shared" si="42"/>
        <v>Same</v>
      </c>
      <c r="E695" s="2">
        <v>57.21</v>
      </c>
      <c r="F695" s="2">
        <v>10</v>
      </c>
      <c r="G695" s="1">
        <f t="shared" si="43"/>
        <v>0.17479461632581716</v>
      </c>
      <c r="H695" s="2">
        <v>1.5</v>
      </c>
      <c r="I695" s="26">
        <v>0.78819444444444453</v>
      </c>
      <c r="J695" s="26">
        <v>0.82152777777777775</v>
      </c>
      <c r="K695" s="27">
        <f>Table3[[#This Row],[Delivery Time]]-Table3[[#This Row],[Order Time]]</f>
        <v>3.3333333333333215E-2</v>
      </c>
      <c r="L695" s="43">
        <v>48</v>
      </c>
      <c r="M695" s="25" t="s">
        <v>0</v>
      </c>
      <c r="N695" s="28"/>
      <c r="O695" s="28" t="s">
        <v>39</v>
      </c>
      <c r="P695" s="25" t="s">
        <v>20</v>
      </c>
    </row>
    <row r="696" spans="1:16" x14ac:dyDescent="0.25">
      <c r="A696" s="23">
        <f t="shared" si="40"/>
        <v>695</v>
      </c>
      <c r="B696" s="24">
        <v>43154</v>
      </c>
      <c r="C696" s="18" t="str">
        <f t="shared" si="41"/>
        <v>Friday</v>
      </c>
      <c r="D696" s="10" t="str">
        <f t="shared" si="42"/>
        <v>Same</v>
      </c>
      <c r="E696" s="2">
        <v>33.18</v>
      </c>
      <c r="F696" s="2">
        <v>5</v>
      </c>
      <c r="G696" s="1">
        <f t="shared" si="43"/>
        <v>0.15069318866787221</v>
      </c>
      <c r="H696" s="2">
        <v>5</v>
      </c>
      <c r="I696" s="26">
        <v>0.78680555555555554</v>
      </c>
      <c r="J696" s="26">
        <v>0.83124999999999993</v>
      </c>
      <c r="K696" s="27">
        <f>Table3[[#This Row],[Delivery Time]]-Table3[[#This Row],[Order Time]]</f>
        <v>4.4444444444444398E-2</v>
      </c>
      <c r="L696" s="43">
        <v>64</v>
      </c>
      <c r="M696" s="25" t="s">
        <v>0</v>
      </c>
      <c r="N696" s="28"/>
      <c r="O696" s="28" t="s">
        <v>39</v>
      </c>
      <c r="P696" s="25" t="s">
        <v>20</v>
      </c>
    </row>
    <row r="697" spans="1:16" x14ac:dyDescent="0.25">
      <c r="A697" s="23">
        <f t="shared" si="40"/>
        <v>696</v>
      </c>
      <c r="B697" s="24">
        <v>43154</v>
      </c>
      <c r="C697" s="18" t="str">
        <f t="shared" si="41"/>
        <v>Friday</v>
      </c>
      <c r="D697" s="10" t="str">
        <f t="shared" si="42"/>
        <v>Same</v>
      </c>
      <c r="E697" s="2">
        <v>13.53</v>
      </c>
      <c r="F697" s="2">
        <v>5</v>
      </c>
      <c r="G697" s="1">
        <f t="shared" si="43"/>
        <v>0.36954915003695493</v>
      </c>
      <c r="H697" s="2">
        <v>1.5</v>
      </c>
      <c r="I697" s="26">
        <v>0.83263888888888893</v>
      </c>
      <c r="J697" s="26">
        <v>0.8569444444444444</v>
      </c>
      <c r="K697" s="27">
        <f>Table3[[#This Row],[Delivery Time]]-Table3[[#This Row],[Order Time]]</f>
        <v>2.4305555555555469E-2</v>
      </c>
      <c r="L697" s="43">
        <v>35</v>
      </c>
      <c r="M697" s="25" t="s">
        <v>0</v>
      </c>
      <c r="N697" s="28"/>
      <c r="O697" s="28" t="s">
        <v>41</v>
      </c>
      <c r="P697" s="25" t="s">
        <v>20</v>
      </c>
    </row>
    <row r="698" spans="1:16" x14ac:dyDescent="0.25">
      <c r="A698" s="23">
        <f t="shared" si="40"/>
        <v>697</v>
      </c>
      <c r="B698" s="24">
        <v>43154</v>
      </c>
      <c r="C698" s="18" t="str">
        <f t="shared" si="41"/>
        <v>Friday</v>
      </c>
      <c r="D698" s="10" t="str">
        <f t="shared" si="42"/>
        <v>Same</v>
      </c>
      <c r="E698" s="2">
        <v>54.61</v>
      </c>
      <c r="F698" s="2">
        <v>10</v>
      </c>
      <c r="G698" s="1">
        <f t="shared" si="43"/>
        <v>0.18311664530305805</v>
      </c>
      <c r="H698" s="2">
        <v>1.5</v>
      </c>
      <c r="I698" s="26">
        <v>0.8340277777777777</v>
      </c>
      <c r="J698" s="26">
        <v>0.86875000000000002</v>
      </c>
      <c r="K698" s="27">
        <f>Table3[[#This Row],[Delivery Time]]-Table3[[#This Row],[Order Time]]</f>
        <v>3.4722222222222321E-2</v>
      </c>
      <c r="L698" s="43">
        <v>50</v>
      </c>
      <c r="M698" s="25" t="s">
        <v>0</v>
      </c>
      <c r="N698" s="28"/>
      <c r="O698" s="28" t="s">
        <v>39</v>
      </c>
      <c r="P698" s="25" t="s">
        <v>20</v>
      </c>
    </row>
    <row r="699" spans="1:16" x14ac:dyDescent="0.25">
      <c r="A699" s="23">
        <f t="shared" si="40"/>
        <v>698</v>
      </c>
      <c r="B699" s="24">
        <v>43155</v>
      </c>
      <c r="C699" s="18" t="str">
        <f t="shared" si="41"/>
        <v>Saturday</v>
      </c>
      <c r="D699" s="10" t="str">
        <f t="shared" si="42"/>
        <v>Different</v>
      </c>
      <c r="E699" s="2">
        <v>51.31</v>
      </c>
      <c r="F699" s="2">
        <v>10</v>
      </c>
      <c r="G699" s="1">
        <f t="shared" si="43"/>
        <v>0.19489378288832584</v>
      </c>
      <c r="H699" s="2">
        <v>5</v>
      </c>
      <c r="I699" s="26">
        <v>0.71319444444444446</v>
      </c>
      <c r="J699" s="26">
        <v>0.73611111111111116</v>
      </c>
      <c r="K699" s="27">
        <f>Table3[[#This Row],[Delivery Time]]-Table3[[#This Row],[Order Time]]</f>
        <v>2.2916666666666696E-2</v>
      </c>
      <c r="L699" s="43">
        <v>33</v>
      </c>
      <c r="M699" s="25" t="s">
        <v>1</v>
      </c>
      <c r="N699" s="28"/>
      <c r="O699" s="28" t="s">
        <v>39</v>
      </c>
      <c r="P699" s="25" t="s">
        <v>20</v>
      </c>
    </row>
    <row r="700" spans="1:16" x14ac:dyDescent="0.25">
      <c r="A700" s="23">
        <f t="shared" si="40"/>
        <v>699</v>
      </c>
      <c r="B700" s="24">
        <v>43155</v>
      </c>
      <c r="C700" s="18" t="str">
        <f t="shared" si="41"/>
        <v>Saturday</v>
      </c>
      <c r="D700" s="10" t="str">
        <f t="shared" si="42"/>
        <v>Same</v>
      </c>
      <c r="E700" s="2">
        <v>24.03</v>
      </c>
      <c r="F700" s="2">
        <v>4</v>
      </c>
      <c r="G700" s="1">
        <f t="shared" si="43"/>
        <v>0.16645859342488556</v>
      </c>
      <c r="H700" s="2">
        <v>1.5</v>
      </c>
      <c r="I700" s="26">
        <v>0.75</v>
      </c>
      <c r="J700" s="26">
        <v>0.77222222222222225</v>
      </c>
      <c r="K700" s="27">
        <f>Table3[[#This Row],[Delivery Time]]-Table3[[#This Row],[Order Time]]</f>
        <v>2.2222222222222254E-2</v>
      </c>
      <c r="L700" s="43">
        <v>32</v>
      </c>
      <c r="M700" s="25" t="s">
        <v>0</v>
      </c>
      <c r="N700" s="28" t="s">
        <v>25</v>
      </c>
      <c r="O700" s="28" t="s">
        <v>39</v>
      </c>
      <c r="P700" s="25" t="s">
        <v>20</v>
      </c>
    </row>
    <row r="701" spans="1:16" x14ac:dyDescent="0.25">
      <c r="A701" s="23">
        <f t="shared" si="40"/>
        <v>700</v>
      </c>
      <c r="B701" s="24">
        <v>43155</v>
      </c>
      <c r="C701" s="18" t="str">
        <f t="shared" si="41"/>
        <v>Saturday</v>
      </c>
      <c r="D701" s="10" t="str">
        <f t="shared" si="42"/>
        <v>Same</v>
      </c>
      <c r="E701" s="2">
        <v>42.92</v>
      </c>
      <c r="F701" s="2">
        <v>8</v>
      </c>
      <c r="G701" s="1">
        <f t="shared" si="43"/>
        <v>0.1863932898415657</v>
      </c>
      <c r="H701" s="2">
        <v>1.5</v>
      </c>
      <c r="I701" s="26">
        <v>0.7402777777777777</v>
      </c>
      <c r="J701" s="26">
        <v>0.77916666666666667</v>
      </c>
      <c r="K701" s="27">
        <f>Table3[[#This Row],[Delivery Time]]-Table3[[#This Row],[Order Time]]</f>
        <v>3.8888888888888973E-2</v>
      </c>
      <c r="L701" s="43">
        <v>56</v>
      </c>
      <c r="M701" s="25" t="s">
        <v>0</v>
      </c>
      <c r="N701" s="28"/>
      <c r="O701" s="28" t="s">
        <v>39</v>
      </c>
      <c r="P701" s="25" t="s">
        <v>20</v>
      </c>
    </row>
    <row r="702" spans="1:16" x14ac:dyDescent="0.25">
      <c r="A702" s="23">
        <f t="shared" si="40"/>
        <v>701</v>
      </c>
      <c r="B702" s="24">
        <v>43155</v>
      </c>
      <c r="C702" s="18" t="str">
        <f t="shared" si="41"/>
        <v>Saturday</v>
      </c>
      <c r="D702" s="10" t="str">
        <f t="shared" si="42"/>
        <v>Same</v>
      </c>
      <c r="E702" s="2">
        <v>47.03</v>
      </c>
      <c r="F702" s="2">
        <v>5</v>
      </c>
      <c r="G702" s="1">
        <f t="shared" si="43"/>
        <v>0.10631511800978098</v>
      </c>
      <c r="H702" s="2">
        <v>1.5</v>
      </c>
      <c r="I702" s="26">
        <v>0.74861111111111101</v>
      </c>
      <c r="J702" s="26">
        <v>0.78819444444444453</v>
      </c>
      <c r="K702" s="27">
        <f>Table3[[#This Row],[Delivery Time]]-Table3[[#This Row],[Order Time]]</f>
        <v>3.9583333333333526E-2</v>
      </c>
      <c r="L702" s="43">
        <v>57</v>
      </c>
      <c r="M702" s="25" t="s">
        <v>0</v>
      </c>
      <c r="N702" s="28"/>
      <c r="O702" s="28" t="s">
        <v>39</v>
      </c>
      <c r="P702" s="25" t="s">
        <v>20</v>
      </c>
    </row>
    <row r="703" spans="1:16" x14ac:dyDescent="0.25">
      <c r="A703" s="23">
        <f t="shared" si="40"/>
        <v>702</v>
      </c>
      <c r="B703" s="24">
        <v>43155</v>
      </c>
      <c r="C703" s="18" t="str">
        <f t="shared" si="41"/>
        <v>Saturday</v>
      </c>
      <c r="D703" s="10" t="str">
        <f t="shared" si="42"/>
        <v>Same</v>
      </c>
      <c r="E703" s="2">
        <v>63.27</v>
      </c>
      <c r="F703" s="2">
        <v>10</v>
      </c>
      <c r="G703" s="1">
        <f t="shared" si="43"/>
        <v>0.158052789631737</v>
      </c>
      <c r="H703" s="2">
        <v>5</v>
      </c>
      <c r="I703" s="26">
        <v>0.75</v>
      </c>
      <c r="J703" s="26">
        <v>0.79652777777777783</v>
      </c>
      <c r="K703" s="27">
        <f>Table3[[#This Row],[Delivery Time]]-Table3[[#This Row],[Order Time]]</f>
        <v>4.6527777777777835E-2</v>
      </c>
      <c r="L703" s="43">
        <v>67</v>
      </c>
      <c r="M703" s="25" t="s">
        <v>0</v>
      </c>
      <c r="N703" s="28"/>
      <c r="O703" s="28" t="s">
        <v>39</v>
      </c>
      <c r="P703" s="25" t="s">
        <v>20</v>
      </c>
    </row>
    <row r="704" spans="1:16" x14ac:dyDescent="0.25">
      <c r="A704" s="23">
        <f t="shared" si="40"/>
        <v>703</v>
      </c>
      <c r="B704" s="24">
        <v>43162</v>
      </c>
      <c r="C704" s="18" t="str">
        <f t="shared" si="41"/>
        <v>Saturday</v>
      </c>
      <c r="D704" s="10" t="str">
        <f t="shared" si="42"/>
        <v>Different</v>
      </c>
      <c r="E704" s="2">
        <v>19.21</v>
      </c>
      <c r="F704" s="2">
        <v>4</v>
      </c>
      <c r="G704" s="1">
        <f t="shared" si="43"/>
        <v>0.20822488287350338</v>
      </c>
      <c r="H704" s="2">
        <v>1.5</v>
      </c>
      <c r="I704" s="26">
        <v>0.73819444444444438</v>
      </c>
      <c r="J704" s="26">
        <v>0.74930555555555556</v>
      </c>
      <c r="K704" s="27">
        <f>Table3[[#This Row],[Delivery Time]]-Table3[[#This Row],[Order Time]]</f>
        <v>1.1111111111111183E-2</v>
      </c>
      <c r="L704" s="43">
        <v>16</v>
      </c>
      <c r="M704" s="25" t="s">
        <v>0</v>
      </c>
      <c r="N704" s="28"/>
      <c r="O704" s="28" t="s">
        <v>42</v>
      </c>
      <c r="P704" s="25" t="s">
        <v>20</v>
      </c>
    </row>
    <row r="705" spans="1:16" x14ac:dyDescent="0.25">
      <c r="A705" s="23">
        <f t="shared" si="40"/>
        <v>704</v>
      </c>
      <c r="B705" s="24">
        <v>43162</v>
      </c>
      <c r="C705" s="18" t="str">
        <f t="shared" si="41"/>
        <v>Saturday</v>
      </c>
      <c r="D705" s="10" t="str">
        <f t="shared" si="42"/>
        <v>Same</v>
      </c>
      <c r="E705" s="2">
        <v>39.729999999999997</v>
      </c>
      <c r="F705" s="2">
        <v>3</v>
      </c>
      <c r="G705" s="1">
        <f t="shared" si="43"/>
        <v>7.5509690410269323E-2</v>
      </c>
      <c r="H705" s="2">
        <v>1.5</v>
      </c>
      <c r="I705" s="26">
        <v>0.76180555555555562</v>
      </c>
      <c r="J705" s="26">
        <v>0.78263888888888899</v>
      </c>
      <c r="K705" s="27">
        <f>Table3[[#This Row],[Delivery Time]]-Table3[[#This Row],[Order Time]]</f>
        <v>2.083333333333337E-2</v>
      </c>
      <c r="L705" s="43">
        <v>30</v>
      </c>
      <c r="M705" s="25" t="s">
        <v>11</v>
      </c>
      <c r="N705" s="28"/>
      <c r="O705" s="28" t="s">
        <v>39</v>
      </c>
      <c r="P705" s="25" t="s">
        <v>20</v>
      </c>
    </row>
    <row r="706" spans="1:16" x14ac:dyDescent="0.25">
      <c r="A706" s="23">
        <f t="shared" si="40"/>
        <v>705</v>
      </c>
      <c r="B706" s="24">
        <v>43162</v>
      </c>
      <c r="C706" s="18" t="str">
        <f t="shared" si="41"/>
        <v>Saturday</v>
      </c>
      <c r="D706" s="10" t="str">
        <f t="shared" si="42"/>
        <v>Same</v>
      </c>
      <c r="E706" s="2">
        <v>243.02</v>
      </c>
      <c r="F706" s="2">
        <v>15</v>
      </c>
      <c r="G706" s="1">
        <f t="shared" si="43"/>
        <v>6.1723314953501765E-2</v>
      </c>
      <c r="H706" s="2">
        <v>1.5</v>
      </c>
      <c r="I706" s="26">
        <v>0.79166666666666663</v>
      </c>
      <c r="J706" s="26">
        <v>0.79166666666666663</v>
      </c>
      <c r="K706" s="27">
        <f>Table3[[#This Row],[Delivery Time]]-Table3[[#This Row],[Order Time]]</f>
        <v>0</v>
      </c>
      <c r="L706" s="43">
        <v>0</v>
      </c>
      <c r="M706" s="25" t="s">
        <v>11</v>
      </c>
      <c r="N706" s="28"/>
      <c r="O706" s="28" t="s">
        <v>40</v>
      </c>
      <c r="P706" s="25" t="s">
        <v>16</v>
      </c>
    </row>
    <row r="707" spans="1:16" x14ac:dyDescent="0.25">
      <c r="A707" s="23">
        <f t="shared" si="40"/>
        <v>706</v>
      </c>
      <c r="B707" s="24">
        <v>43162</v>
      </c>
      <c r="C707" s="18" t="str">
        <f t="shared" si="41"/>
        <v>Saturday</v>
      </c>
      <c r="D707" s="10" t="str">
        <f t="shared" si="42"/>
        <v>Same</v>
      </c>
      <c r="E707" s="2">
        <v>56.58</v>
      </c>
      <c r="F707" s="2">
        <v>5</v>
      </c>
      <c r="G707" s="1">
        <f t="shared" si="43"/>
        <v>8.8370448921880521E-2</v>
      </c>
      <c r="H707" s="2">
        <v>1.5</v>
      </c>
      <c r="I707" s="26">
        <v>0.77847222222222223</v>
      </c>
      <c r="J707" s="26">
        <v>0.80902777777777779</v>
      </c>
      <c r="K707" s="27">
        <f>Table3[[#This Row],[Delivery Time]]-Table3[[#This Row],[Order Time]]</f>
        <v>3.0555555555555558E-2</v>
      </c>
      <c r="L707" s="43">
        <v>44</v>
      </c>
      <c r="M707" s="25" t="s">
        <v>12</v>
      </c>
      <c r="N707" s="28"/>
      <c r="O707" s="28" t="s">
        <v>39</v>
      </c>
      <c r="P707" s="25" t="s">
        <v>20</v>
      </c>
    </row>
    <row r="708" spans="1:16" x14ac:dyDescent="0.25">
      <c r="A708" s="23">
        <f t="shared" si="40"/>
        <v>707</v>
      </c>
      <c r="B708" s="24">
        <v>43162</v>
      </c>
      <c r="C708" s="18" t="str">
        <f t="shared" si="41"/>
        <v>Saturday</v>
      </c>
      <c r="D708" s="10" t="str">
        <f t="shared" si="42"/>
        <v>Same</v>
      </c>
      <c r="E708" s="2">
        <v>29.82</v>
      </c>
      <c r="F708" s="2">
        <v>6</v>
      </c>
      <c r="G708" s="1">
        <f t="shared" si="43"/>
        <v>0.20120724346076457</v>
      </c>
      <c r="H708" s="2">
        <v>5</v>
      </c>
      <c r="I708" s="26">
        <v>0.79027777777777775</v>
      </c>
      <c r="J708" s="26">
        <v>0.81944444444444453</v>
      </c>
      <c r="K708" s="27">
        <f>Table3[[#This Row],[Delivery Time]]-Table3[[#This Row],[Order Time]]</f>
        <v>2.9166666666666785E-2</v>
      </c>
      <c r="L708" s="43">
        <v>42</v>
      </c>
      <c r="M708" s="25" t="s">
        <v>0</v>
      </c>
      <c r="N708" s="28"/>
      <c r="O708" s="28" t="s">
        <v>39</v>
      </c>
      <c r="P708" s="25" t="s">
        <v>20</v>
      </c>
    </row>
    <row r="709" spans="1:16" x14ac:dyDescent="0.25">
      <c r="A709" s="23">
        <f t="shared" si="40"/>
        <v>708</v>
      </c>
      <c r="B709" s="24">
        <v>43162</v>
      </c>
      <c r="C709" s="18" t="str">
        <f t="shared" si="41"/>
        <v>Saturday</v>
      </c>
      <c r="D709" s="10" t="str">
        <f t="shared" si="42"/>
        <v>Same</v>
      </c>
      <c r="E709" s="2">
        <v>38.1</v>
      </c>
      <c r="F709" s="2">
        <v>10</v>
      </c>
      <c r="G709" s="1">
        <f t="shared" si="43"/>
        <v>0.26246719160104987</v>
      </c>
      <c r="H709" s="2">
        <v>5</v>
      </c>
      <c r="I709" s="26">
        <v>0.83333333333333337</v>
      </c>
      <c r="J709" s="26">
        <v>0.85833333333333339</v>
      </c>
      <c r="K709" s="27">
        <f>Table3[[#This Row],[Delivery Time]]-Table3[[#This Row],[Order Time]]</f>
        <v>2.5000000000000022E-2</v>
      </c>
      <c r="L709" s="43">
        <v>36</v>
      </c>
      <c r="M709" s="25" t="s">
        <v>0</v>
      </c>
      <c r="N709" s="28"/>
      <c r="O709" s="28" t="s">
        <v>39</v>
      </c>
      <c r="P709" s="25" t="s">
        <v>20</v>
      </c>
    </row>
    <row r="710" spans="1:16" x14ac:dyDescent="0.25">
      <c r="A710" s="23">
        <f t="shared" ref="A710:A773" si="44">ROW(A709)</f>
        <v>709</v>
      </c>
      <c r="B710" s="24">
        <v>43168</v>
      </c>
      <c r="C710" s="18" t="str">
        <f t="shared" ref="C710:C773" si="45">TEXT(B710,"dddd")</f>
        <v>Friday</v>
      </c>
      <c r="D710" s="10" t="str">
        <f t="shared" ref="D710:D773" si="46">IF(B709=B710, "Same", "Different")</f>
        <v>Different</v>
      </c>
      <c r="E710" s="2">
        <v>47.63</v>
      </c>
      <c r="F710" s="2">
        <v>12</v>
      </c>
      <c r="G710" s="1">
        <f t="shared" ref="G710:G773" si="47">F710/E710</f>
        <v>0.25194205332773462</v>
      </c>
      <c r="H710" s="2">
        <v>1.5</v>
      </c>
      <c r="I710" s="26">
        <v>0.71875</v>
      </c>
      <c r="J710" s="26">
        <v>0.73958333333333337</v>
      </c>
      <c r="K710" s="27">
        <f>Table3[[#This Row],[Delivery Time]]-Table3[[#This Row],[Order Time]]</f>
        <v>2.083333333333337E-2</v>
      </c>
      <c r="L710" s="43">
        <v>30</v>
      </c>
      <c r="M710" s="25" t="s">
        <v>11</v>
      </c>
      <c r="N710" s="28"/>
      <c r="O710" s="28" t="s">
        <v>39</v>
      </c>
      <c r="P710" s="25" t="s">
        <v>20</v>
      </c>
    </row>
    <row r="711" spans="1:16" x14ac:dyDescent="0.25">
      <c r="A711" s="23">
        <f t="shared" si="44"/>
        <v>710</v>
      </c>
      <c r="B711" s="24">
        <v>43168</v>
      </c>
      <c r="C711" s="18" t="str">
        <f t="shared" si="45"/>
        <v>Friday</v>
      </c>
      <c r="D711" s="10" t="str">
        <f t="shared" si="46"/>
        <v>Same</v>
      </c>
      <c r="E711" s="2">
        <v>25.44</v>
      </c>
      <c r="F711" s="2">
        <v>4</v>
      </c>
      <c r="G711" s="1">
        <f t="shared" si="47"/>
        <v>0.15723270440251572</v>
      </c>
      <c r="H711" s="2">
        <v>1.5</v>
      </c>
      <c r="I711" s="26">
        <v>0.77083333333333337</v>
      </c>
      <c r="J711" s="26">
        <v>0.77083333333333337</v>
      </c>
      <c r="K711" s="27">
        <f>Table3[[#This Row],[Delivery Time]]-Table3[[#This Row],[Order Time]]</f>
        <v>0</v>
      </c>
      <c r="L711" s="43">
        <v>0</v>
      </c>
      <c r="M711" s="25" t="s">
        <v>0</v>
      </c>
      <c r="N711" s="28"/>
      <c r="O711" s="28" t="s">
        <v>39</v>
      </c>
      <c r="P711" s="25" t="s">
        <v>16</v>
      </c>
    </row>
    <row r="712" spans="1:16" x14ac:dyDescent="0.25">
      <c r="A712" s="23">
        <f t="shared" si="44"/>
        <v>711</v>
      </c>
      <c r="B712" s="24">
        <v>43168</v>
      </c>
      <c r="C712" s="18" t="str">
        <f t="shared" si="45"/>
        <v>Friday</v>
      </c>
      <c r="D712" s="10" t="str">
        <f t="shared" si="46"/>
        <v>Same</v>
      </c>
      <c r="E712" s="2">
        <v>23.76</v>
      </c>
      <c r="F712" s="2">
        <v>3</v>
      </c>
      <c r="G712" s="1">
        <f t="shared" si="47"/>
        <v>0.12626262626262624</v>
      </c>
      <c r="H712" s="2">
        <v>1.5</v>
      </c>
      <c r="I712" s="26">
        <v>0.75138888888888899</v>
      </c>
      <c r="J712" s="26">
        <v>0.77708333333333324</v>
      </c>
      <c r="K712" s="27">
        <f>Table3[[#This Row],[Delivery Time]]-Table3[[#This Row],[Order Time]]</f>
        <v>2.5694444444444242E-2</v>
      </c>
      <c r="L712" s="43">
        <v>37</v>
      </c>
      <c r="M712" s="25" t="s">
        <v>0</v>
      </c>
      <c r="N712" s="28"/>
      <c r="O712" s="28" t="s">
        <v>39</v>
      </c>
      <c r="P712" s="25" t="s">
        <v>20</v>
      </c>
    </row>
    <row r="713" spans="1:16" x14ac:dyDescent="0.25">
      <c r="A713" s="23">
        <f t="shared" si="44"/>
        <v>712</v>
      </c>
      <c r="B713" s="24">
        <v>43168</v>
      </c>
      <c r="C713" s="18" t="str">
        <f t="shared" si="45"/>
        <v>Friday</v>
      </c>
      <c r="D713" s="10" t="str">
        <f t="shared" si="46"/>
        <v>Same</v>
      </c>
      <c r="E713" s="2">
        <v>16.13</v>
      </c>
      <c r="F713" s="2">
        <v>3</v>
      </c>
      <c r="G713" s="1">
        <f t="shared" si="47"/>
        <v>0.18598884066955984</v>
      </c>
      <c r="H713" s="2">
        <v>1.5</v>
      </c>
      <c r="I713" s="26">
        <v>0.75277777777777777</v>
      </c>
      <c r="J713" s="26">
        <v>0.78194444444444444</v>
      </c>
      <c r="K713" s="27">
        <f>Table3[[#This Row],[Delivery Time]]-Table3[[#This Row],[Order Time]]</f>
        <v>2.9166666666666674E-2</v>
      </c>
      <c r="L713" s="43">
        <v>42</v>
      </c>
      <c r="M713" s="25" t="s">
        <v>0</v>
      </c>
      <c r="N713" s="28"/>
      <c r="O713" s="28" t="s">
        <v>39</v>
      </c>
      <c r="P713" s="25" t="s">
        <v>20</v>
      </c>
    </row>
    <row r="714" spans="1:16" x14ac:dyDescent="0.25">
      <c r="A714" s="23">
        <f t="shared" si="44"/>
        <v>713</v>
      </c>
      <c r="B714" s="24">
        <v>43168</v>
      </c>
      <c r="C714" s="18" t="str">
        <f t="shared" si="45"/>
        <v>Friday</v>
      </c>
      <c r="D714" s="10" t="str">
        <f t="shared" si="46"/>
        <v>Same</v>
      </c>
      <c r="E714" s="2">
        <v>31.39</v>
      </c>
      <c r="F714" s="2">
        <v>4</v>
      </c>
      <c r="G714" s="1">
        <f t="shared" si="47"/>
        <v>0.12742911755336095</v>
      </c>
      <c r="H714" s="2">
        <v>5</v>
      </c>
      <c r="I714" s="26">
        <v>0.75069444444444444</v>
      </c>
      <c r="J714" s="26">
        <v>0.79027777777777775</v>
      </c>
      <c r="K714" s="27">
        <f>Table3[[#This Row],[Delivery Time]]-Table3[[#This Row],[Order Time]]</f>
        <v>3.9583333333333304E-2</v>
      </c>
      <c r="L714" s="43">
        <v>57</v>
      </c>
      <c r="M714" s="25" t="s">
        <v>0</v>
      </c>
      <c r="N714" s="28"/>
      <c r="O714" s="28" t="s">
        <v>39</v>
      </c>
      <c r="P714" s="25" t="s">
        <v>20</v>
      </c>
    </row>
    <row r="715" spans="1:16" x14ac:dyDescent="0.25">
      <c r="A715" s="23">
        <f t="shared" si="44"/>
        <v>714</v>
      </c>
      <c r="B715" s="24">
        <v>43168</v>
      </c>
      <c r="C715" s="18" t="str">
        <f t="shared" si="45"/>
        <v>Friday</v>
      </c>
      <c r="D715" s="10" t="str">
        <f t="shared" si="46"/>
        <v>Same</v>
      </c>
      <c r="E715" s="2">
        <v>35.4</v>
      </c>
      <c r="F715" s="2">
        <v>4</v>
      </c>
      <c r="G715" s="1">
        <f t="shared" si="47"/>
        <v>0.11299435028248588</v>
      </c>
      <c r="H715" s="2">
        <v>1.5</v>
      </c>
      <c r="I715" s="26">
        <v>0.78888888888888886</v>
      </c>
      <c r="J715" s="26">
        <v>0.81666666666666676</v>
      </c>
      <c r="K715" s="27">
        <f>Table3[[#This Row],[Delivery Time]]-Table3[[#This Row],[Order Time]]</f>
        <v>2.7777777777777901E-2</v>
      </c>
      <c r="L715" s="43">
        <v>40</v>
      </c>
      <c r="M715" s="25" t="s">
        <v>11</v>
      </c>
      <c r="N715" s="28"/>
      <c r="O715" s="28" t="s">
        <v>39</v>
      </c>
      <c r="P715" s="25" t="s">
        <v>20</v>
      </c>
    </row>
    <row r="716" spans="1:16" x14ac:dyDescent="0.25">
      <c r="A716" s="23">
        <f t="shared" si="44"/>
        <v>715</v>
      </c>
      <c r="B716" s="24">
        <v>43168</v>
      </c>
      <c r="C716" s="18" t="str">
        <f t="shared" si="45"/>
        <v>Friday</v>
      </c>
      <c r="D716" s="10" t="str">
        <f t="shared" si="46"/>
        <v>Same</v>
      </c>
      <c r="E716" s="2">
        <v>31.12</v>
      </c>
      <c r="F716" s="2">
        <v>5</v>
      </c>
      <c r="G716" s="1">
        <f t="shared" si="47"/>
        <v>0.16066838046272494</v>
      </c>
      <c r="H716" s="2">
        <v>1.5</v>
      </c>
      <c r="I716" s="26">
        <v>0.80069444444444438</v>
      </c>
      <c r="J716" s="26">
        <v>0.82152777777777775</v>
      </c>
      <c r="K716" s="27">
        <f>Table3[[#This Row],[Delivery Time]]-Table3[[#This Row],[Order Time]]</f>
        <v>2.083333333333337E-2</v>
      </c>
      <c r="L716" s="43">
        <v>30</v>
      </c>
      <c r="M716" s="25" t="s">
        <v>11</v>
      </c>
      <c r="N716" s="28"/>
      <c r="O716" s="28" t="s">
        <v>39</v>
      </c>
      <c r="P716" s="25" t="s">
        <v>20</v>
      </c>
    </row>
    <row r="717" spans="1:16" x14ac:dyDescent="0.25">
      <c r="A717" s="23">
        <f t="shared" si="44"/>
        <v>716</v>
      </c>
      <c r="B717" s="24">
        <v>43169</v>
      </c>
      <c r="C717" s="18" t="str">
        <f t="shared" si="45"/>
        <v>Saturday</v>
      </c>
      <c r="D717" s="10" t="str">
        <f t="shared" si="46"/>
        <v>Different</v>
      </c>
      <c r="E717" s="2">
        <v>41.16</v>
      </c>
      <c r="F717" s="2">
        <v>3.84</v>
      </c>
      <c r="G717" s="1">
        <f t="shared" si="47"/>
        <v>9.3294460641399415E-2</v>
      </c>
      <c r="H717" s="2">
        <v>1.5</v>
      </c>
      <c r="I717" s="26">
        <v>0.72222222222222221</v>
      </c>
      <c r="J717" s="26">
        <v>0.7416666666666667</v>
      </c>
      <c r="K717" s="27">
        <f>Table3[[#This Row],[Delivery Time]]-Table3[[#This Row],[Order Time]]</f>
        <v>1.9444444444444486E-2</v>
      </c>
      <c r="L717" s="43">
        <v>28</v>
      </c>
      <c r="M717" s="25" t="s">
        <v>11</v>
      </c>
      <c r="N717" s="28"/>
      <c r="O717" s="28" t="s">
        <v>42</v>
      </c>
      <c r="P717" s="25" t="s">
        <v>20</v>
      </c>
    </row>
    <row r="718" spans="1:16" x14ac:dyDescent="0.25">
      <c r="A718" s="23">
        <f t="shared" si="44"/>
        <v>717</v>
      </c>
      <c r="B718" s="24">
        <v>43169</v>
      </c>
      <c r="C718" s="18" t="str">
        <f t="shared" si="45"/>
        <v>Saturday</v>
      </c>
      <c r="D718" s="10" t="str">
        <f t="shared" si="46"/>
        <v>Same</v>
      </c>
      <c r="E718" s="2">
        <v>17</v>
      </c>
      <c r="F718" s="2">
        <v>2</v>
      </c>
      <c r="G718" s="1">
        <f t="shared" si="47"/>
        <v>0.11764705882352941</v>
      </c>
      <c r="H718" s="2">
        <v>1.5</v>
      </c>
      <c r="I718" s="26">
        <v>0.71805555555555556</v>
      </c>
      <c r="J718" s="26">
        <v>0.75138888888888899</v>
      </c>
      <c r="K718" s="27">
        <f>Table3[[#This Row],[Delivery Time]]-Table3[[#This Row],[Order Time]]</f>
        <v>3.3333333333333437E-2</v>
      </c>
      <c r="L718" s="43">
        <v>48</v>
      </c>
      <c r="M718" s="25" t="s">
        <v>11</v>
      </c>
      <c r="N718" s="28"/>
      <c r="O718" s="28" t="s">
        <v>41</v>
      </c>
      <c r="P718" s="25" t="s">
        <v>20</v>
      </c>
    </row>
    <row r="719" spans="1:16" x14ac:dyDescent="0.25">
      <c r="A719" s="23">
        <f t="shared" si="44"/>
        <v>718</v>
      </c>
      <c r="B719" s="24">
        <v>43169</v>
      </c>
      <c r="C719" s="18" t="str">
        <f t="shared" si="45"/>
        <v>Saturday</v>
      </c>
      <c r="D719" s="10" t="str">
        <f t="shared" si="46"/>
        <v>Same</v>
      </c>
      <c r="E719" s="2">
        <v>20.239999999999998</v>
      </c>
      <c r="F719" s="2">
        <v>3</v>
      </c>
      <c r="G719" s="1">
        <f t="shared" si="47"/>
        <v>0.14822134387351779</v>
      </c>
      <c r="H719" s="2">
        <v>1.5</v>
      </c>
      <c r="I719" s="26">
        <v>0.7270833333333333</v>
      </c>
      <c r="J719" s="26">
        <v>0.76388888888888884</v>
      </c>
      <c r="K719" s="27">
        <f>Table3[[#This Row],[Delivery Time]]-Table3[[#This Row],[Order Time]]</f>
        <v>3.6805555555555536E-2</v>
      </c>
      <c r="L719" s="43">
        <v>53</v>
      </c>
      <c r="M719" s="25" t="s">
        <v>11</v>
      </c>
      <c r="N719" s="28"/>
      <c r="O719" s="28" t="s">
        <v>39</v>
      </c>
      <c r="P719" s="25" t="s">
        <v>20</v>
      </c>
    </row>
    <row r="720" spans="1:16" x14ac:dyDescent="0.25">
      <c r="A720" s="23">
        <f t="shared" si="44"/>
        <v>719</v>
      </c>
      <c r="B720" s="24">
        <v>43169</v>
      </c>
      <c r="C720" s="18" t="str">
        <f t="shared" si="45"/>
        <v>Saturday</v>
      </c>
      <c r="D720" s="10" t="str">
        <f t="shared" si="46"/>
        <v>Same</v>
      </c>
      <c r="E720" s="2">
        <v>82.97</v>
      </c>
      <c r="F720" s="2">
        <v>10</v>
      </c>
      <c r="G720" s="1">
        <f t="shared" si="47"/>
        <v>0.12052549114137641</v>
      </c>
      <c r="H720" s="2">
        <v>1.5</v>
      </c>
      <c r="I720" s="26">
        <v>0.77986111111111101</v>
      </c>
      <c r="J720" s="26">
        <v>0.79722222222222217</v>
      </c>
      <c r="K720" s="27">
        <f>Table3[[#This Row],[Delivery Time]]-Table3[[#This Row],[Order Time]]</f>
        <v>1.736111111111116E-2</v>
      </c>
      <c r="L720" s="43">
        <v>25</v>
      </c>
      <c r="M720" s="25" t="s">
        <v>11</v>
      </c>
      <c r="N720" s="28"/>
      <c r="O720" s="28" t="s">
        <v>39</v>
      </c>
      <c r="P720" s="25" t="s">
        <v>20</v>
      </c>
    </row>
    <row r="721" spans="1:16" x14ac:dyDescent="0.25">
      <c r="A721" s="23">
        <f t="shared" si="44"/>
        <v>720</v>
      </c>
      <c r="B721" s="24">
        <v>43169</v>
      </c>
      <c r="C721" s="18" t="str">
        <f t="shared" si="45"/>
        <v>Saturday</v>
      </c>
      <c r="D721" s="10" t="str">
        <f t="shared" si="46"/>
        <v>Same</v>
      </c>
      <c r="E721" s="2">
        <v>34.04</v>
      </c>
      <c r="F721" s="2">
        <v>6</v>
      </c>
      <c r="G721" s="1">
        <f t="shared" si="47"/>
        <v>0.17626321974148063</v>
      </c>
      <c r="H721" s="2">
        <v>7</v>
      </c>
      <c r="I721" s="26">
        <v>0.7895833333333333</v>
      </c>
      <c r="J721" s="26">
        <v>0.8208333333333333</v>
      </c>
      <c r="K721" s="27">
        <f>Table3[[#This Row],[Delivery Time]]-Table3[[#This Row],[Order Time]]</f>
        <v>3.125E-2</v>
      </c>
      <c r="L721" s="43">
        <v>45</v>
      </c>
      <c r="M721" s="25" t="s">
        <v>0</v>
      </c>
      <c r="N721" s="28"/>
      <c r="O721" s="28" t="s">
        <v>39</v>
      </c>
      <c r="P721" s="25" t="s">
        <v>20</v>
      </c>
    </row>
    <row r="722" spans="1:16" x14ac:dyDescent="0.25">
      <c r="A722" s="23">
        <f t="shared" si="44"/>
        <v>721</v>
      </c>
      <c r="B722" s="24">
        <v>43169</v>
      </c>
      <c r="C722" s="18" t="str">
        <f t="shared" si="45"/>
        <v>Saturday</v>
      </c>
      <c r="D722" s="10" t="str">
        <f t="shared" si="46"/>
        <v>Same</v>
      </c>
      <c r="E722" s="2">
        <v>21.6</v>
      </c>
      <c r="F722" s="2">
        <v>5</v>
      </c>
      <c r="G722" s="1">
        <f t="shared" si="47"/>
        <v>0.23148148148148145</v>
      </c>
      <c r="H722" s="2">
        <v>1.5</v>
      </c>
      <c r="I722" s="26">
        <v>0.79652777777777783</v>
      </c>
      <c r="J722" s="26">
        <v>0.83611111111111114</v>
      </c>
      <c r="K722" s="27">
        <f>Table3[[#This Row],[Delivery Time]]-Table3[[#This Row],[Order Time]]</f>
        <v>3.9583333333333304E-2</v>
      </c>
      <c r="L722" s="43">
        <v>57</v>
      </c>
      <c r="M722" s="25" t="s">
        <v>0</v>
      </c>
      <c r="N722" s="28"/>
      <c r="O722" s="28" t="s">
        <v>42</v>
      </c>
      <c r="P722" s="25" t="s">
        <v>20</v>
      </c>
    </row>
    <row r="723" spans="1:16" x14ac:dyDescent="0.25">
      <c r="A723" s="23">
        <f t="shared" si="44"/>
        <v>722</v>
      </c>
      <c r="B723" s="24">
        <v>43169</v>
      </c>
      <c r="C723" s="18" t="str">
        <f t="shared" si="45"/>
        <v>Saturday</v>
      </c>
      <c r="D723" s="10" t="str">
        <f t="shared" si="46"/>
        <v>Same</v>
      </c>
      <c r="E723" s="2">
        <v>34.32</v>
      </c>
      <c r="F723" s="2">
        <v>5.68</v>
      </c>
      <c r="G723" s="1">
        <f t="shared" si="47"/>
        <v>0.1655011655011655</v>
      </c>
      <c r="H723" s="2">
        <v>1.5</v>
      </c>
      <c r="I723" s="26">
        <v>0.84583333333333333</v>
      </c>
      <c r="J723" s="26">
        <v>0.86597222222222225</v>
      </c>
      <c r="K723" s="27">
        <f>Table3[[#This Row],[Delivery Time]]-Table3[[#This Row],[Order Time]]</f>
        <v>2.0138888888888928E-2</v>
      </c>
      <c r="L723" s="43">
        <v>29.000000000000004</v>
      </c>
      <c r="M723" s="25" t="s">
        <v>12</v>
      </c>
      <c r="N723" s="28"/>
      <c r="O723" s="28" t="s">
        <v>39</v>
      </c>
      <c r="P723" s="25" t="s">
        <v>20</v>
      </c>
    </row>
    <row r="724" spans="1:16" x14ac:dyDescent="0.25">
      <c r="A724" s="23">
        <f t="shared" si="44"/>
        <v>723</v>
      </c>
      <c r="B724" s="24">
        <v>43170</v>
      </c>
      <c r="C724" s="18" t="str">
        <f t="shared" si="45"/>
        <v>Sunday</v>
      </c>
      <c r="D724" s="10" t="str">
        <f t="shared" si="46"/>
        <v>Different</v>
      </c>
      <c r="E724" s="2">
        <v>26.74</v>
      </c>
      <c r="F724" s="2">
        <v>5</v>
      </c>
      <c r="G724" s="1">
        <f t="shared" si="47"/>
        <v>0.18698578908002994</v>
      </c>
      <c r="H724" s="2">
        <v>1.5</v>
      </c>
      <c r="I724" s="26">
        <v>0.71250000000000002</v>
      </c>
      <c r="J724" s="26">
        <v>0.7284722222222223</v>
      </c>
      <c r="K724" s="27">
        <f>Table3[[#This Row],[Delivery Time]]-Table3[[#This Row],[Order Time]]</f>
        <v>1.5972222222222276E-2</v>
      </c>
      <c r="L724" s="43">
        <v>23.000000000000004</v>
      </c>
      <c r="M724" s="25" t="s">
        <v>11</v>
      </c>
      <c r="N724" s="28"/>
      <c r="O724" s="28" t="s">
        <v>39</v>
      </c>
      <c r="P724" s="25" t="s">
        <v>20</v>
      </c>
    </row>
    <row r="725" spans="1:16" x14ac:dyDescent="0.25">
      <c r="A725" s="23">
        <f t="shared" si="44"/>
        <v>724</v>
      </c>
      <c r="B725" s="24">
        <v>43170</v>
      </c>
      <c r="C725" s="18" t="str">
        <f t="shared" si="45"/>
        <v>Sunday</v>
      </c>
      <c r="D725" s="10" t="str">
        <f t="shared" si="46"/>
        <v>Same</v>
      </c>
      <c r="E725" s="2">
        <v>68.41</v>
      </c>
      <c r="F725" s="2">
        <v>12</v>
      </c>
      <c r="G725" s="1">
        <f t="shared" si="47"/>
        <v>0.17541295132290602</v>
      </c>
      <c r="H725" s="2">
        <v>1.5</v>
      </c>
      <c r="I725" s="26">
        <v>0.74097222222222225</v>
      </c>
      <c r="J725" s="26">
        <v>0.76250000000000007</v>
      </c>
      <c r="K725" s="27">
        <f>Table3[[#This Row],[Delivery Time]]-Table3[[#This Row],[Order Time]]</f>
        <v>2.1527777777777812E-2</v>
      </c>
      <c r="L725" s="43">
        <v>31.000000000000004</v>
      </c>
      <c r="M725" s="25" t="s">
        <v>0</v>
      </c>
      <c r="N725" s="28" t="s">
        <v>25</v>
      </c>
      <c r="O725" s="28" t="s">
        <v>39</v>
      </c>
      <c r="P725" s="25" t="s">
        <v>20</v>
      </c>
    </row>
    <row r="726" spans="1:16" x14ac:dyDescent="0.25">
      <c r="A726" s="23">
        <f t="shared" si="44"/>
        <v>725</v>
      </c>
      <c r="B726" s="24">
        <v>43170</v>
      </c>
      <c r="C726" s="18" t="str">
        <f t="shared" si="45"/>
        <v>Sunday</v>
      </c>
      <c r="D726" s="10" t="str">
        <f t="shared" si="46"/>
        <v>Same</v>
      </c>
      <c r="E726" s="2">
        <v>47.58</v>
      </c>
      <c r="F726" s="2">
        <v>12</v>
      </c>
      <c r="G726" s="1">
        <f t="shared" si="47"/>
        <v>0.25220680958385877</v>
      </c>
      <c r="H726" s="2">
        <v>5</v>
      </c>
      <c r="I726" s="26">
        <v>0.76736111111111116</v>
      </c>
      <c r="J726" s="26">
        <v>0.80555555555555547</v>
      </c>
      <c r="K726" s="27">
        <f>Table3[[#This Row],[Delivery Time]]-Table3[[#This Row],[Order Time]]</f>
        <v>3.8194444444444309E-2</v>
      </c>
      <c r="L726" s="43">
        <v>54.999999999999993</v>
      </c>
      <c r="M726" s="25" t="s">
        <v>0</v>
      </c>
      <c r="N726" s="28"/>
      <c r="O726" s="28" t="s">
        <v>39</v>
      </c>
      <c r="P726" s="25" t="s">
        <v>20</v>
      </c>
    </row>
    <row r="727" spans="1:16" x14ac:dyDescent="0.25">
      <c r="A727" s="23">
        <f t="shared" si="44"/>
        <v>726</v>
      </c>
      <c r="B727" s="24">
        <v>43170</v>
      </c>
      <c r="C727" s="18" t="str">
        <f t="shared" si="45"/>
        <v>Sunday</v>
      </c>
      <c r="D727" s="10" t="str">
        <f t="shared" si="46"/>
        <v>Same</v>
      </c>
      <c r="E727" s="2">
        <v>24.57</v>
      </c>
      <c r="F727" s="2">
        <v>5</v>
      </c>
      <c r="G727" s="1">
        <f t="shared" si="47"/>
        <v>0.20350020350020351</v>
      </c>
      <c r="H727" s="2">
        <v>5</v>
      </c>
      <c r="I727" s="26">
        <v>0.78055555555555556</v>
      </c>
      <c r="J727" s="26">
        <v>0.81111111111111101</v>
      </c>
      <c r="K727" s="27">
        <f>Table3[[#This Row],[Delivery Time]]-Table3[[#This Row],[Order Time]]</f>
        <v>3.0555555555555447E-2</v>
      </c>
      <c r="L727" s="43">
        <v>44</v>
      </c>
      <c r="M727" s="25" t="s">
        <v>0</v>
      </c>
      <c r="N727" s="28"/>
      <c r="O727" s="28" t="s">
        <v>39</v>
      </c>
      <c r="P727" s="25" t="s">
        <v>20</v>
      </c>
    </row>
    <row r="728" spans="1:16" x14ac:dyDescent="0.25">
      <c r="A728" s="23">
        <f t="shared" si="44"/>
        <v>727</v>
      </c>
      <c r="B728" s="24">
        <v>43170</v>
      </c>
      <c r="C728" s="18" t="str">
        <f t="shared" si="45"/>
        <v>Sunday</v>
      </c>
      <c r="D728" s="10" t="str">
        <f t="shared" si="46"/>
        <v>Same</v>
      </c>
      <c r="E728" s="2">
        <v>32.369999999999997</v>
      </c>
      <c r="F728" s="2">
        <v>6</v>
      </c>
      <c r="G728" s="1">
        <f t="shared" si="47"/>
        <v>0.18535681186283598</v>
      </c>
      <c r="H728" s="2">
        <v>5</v>
      </c>
      <c r="I728" s="26">
        <v>0.77986111111111101</v>
      </c>
      <c r="J728" s="26">
        <v>0.81944444444444453</v>
      </c>
      <c r="K728" s="27">
        <f>Table3[[#This Row],[Delivery Time]]-Table3[[#This Row],[Order Time]]</f>
        <v>3.9583333333333526E-2</v>
      </c>
      <c r="L728" s="43">
        <v>57</v>
      </c>
      <c r="M728" s="25" t="s">
        <v>0</v>
      </c>
      <c r="N728" s="28"/>
      <c r="O728" s="28" t="s">
        <v>39</v>
      </c>
      <c r="P728" s="25" t="s">
        <v>20</v>
      </c>
    </row>
    <row r="729" spans="1:16" x14ac:dyDescent="0.25">
      <c r="A729" s="23">
        <f t="shared" si="44"/>
        <v>728</v>
      </c>
      <c r="B729" s="24">
        <v>43170</v>
      </c>
      <c r="C729" s="18" t="str">
        <f t="shared" si="45"/>
        <v>Sunday</v>
      </c>
      <c r="D729" s="10" t="str">
        <f t="shared" si="46"/>
        <v>Same</v>
      </c>
      <c r="E729" s="2">
        <v>49.16</v>
      </c>
      <c r="F729" s="2">
        <v>7.84</v>
      </c>
      <c r="G729" s="1">
        <f t="shared" si="47"/>
        <v>0.15947925142392189</v>
      </c>
      <c r="H729" s="2">
        <v>1.5</v>
      </c>
      <c r="I729" s="26">
        <v>0.82986111111111116</v>
      </c>
      <c r="J729" s="26">
        <v>0.85416666666666663</v>
      </c>
      <c r="K729" s="27">
        <f>Table3[[#This Row],[Delivery Time]]-Table3[[#This Row],[Order Time]]</f>
        <v>2.4305555555555469E-2</v>
      </c>
      <c r="L729" s="43">
        <v>35</v>
      </c>
      <c r="M729" s="25" t="s">
        <v>0</v>
      </c>
      <c r="N729" s="28"/>
      <c r="O729" s="28" t="s">
        <v>41</v>
      </c>
      <c r="P729" s="25" t="s">
        <v>20</v>
      </c>
    </row>
    <row r="730" spans="1:16" x14ac:dyDescent="0.25">
      <c r="A730" s="23">
        <f t="shared" si="44"/>
        <v>729</v>
      </c>
      <c r="B730" s="24">
        <v>43170</v>
      </c>
      <c r="C730" s="18" t="str">
        <f t="shared" si="45"/>
        <v>Sunday</v>
      </c>
      <c r="D730" s="10" t="str">
        <f t="shared" si="46"/>
        <v>Same</v>
      </c>
      <c r="E730" s="2">
        <v>28.9</v>
      </c>
      <c r="F730" s="2">
        <v>3</v>
      </c>
      <c r="G730" s="1">
        <f t="shared" si="47"/>
        <v>0.10380622837370243</v>
      </c>
      <c r="H730" s="2">
        <v>1.5</v>
      </c>
      <c r="I730" s="26">
        <v>0.83611111111111114</v>
      </c>
      <c r="J730" s="26">
        <v>0.86388888888888893</v>
      </c>
      <c r="K730" s="27">
        <f>Table3[[#This Row],[Delivery Time]]-Table3[[#This Row],[Order Time]]</f>
        <v>2.777777777777779E-2</v>
      </c>
      <c r="L730" s="43">
        <v>40</v>
      </c>
      <c r="M730" s="25" t="s">
        <v>0</v>
      </c>
      <c r="N730" s="28"/>
      <c r="O730" s="28" t="s">
        <v>39</v>
      </c>
      <c r="P730" s="25" t="s">
        <v>20</v>
      </c>
    </row>
    <row r="731" spans="1:16" x14ac:dyDescent="0.25">
      <c r="A731" s="23">
        <f t="shared" si="44"/>
        <v>730</v>
      </c>
      <c r="B731" s="24">
        <v>43170</v>
      </c>
      <c r="C731" s="18" t="str">
        <f t="shared" si="45"/>
        <v>Sunday</v>
      </c>
      <c r="D731" s="10" t="str">
        <f t="shared" si="46"/>
        <v>Same</v>
      </c>
      <c r="E731" s="2">
        <v>39.19</v>
      </c>
      <c r="F731" s="2">
        <v>10.71</v>
      </c>
      <c r="G731" s="1">
        <f t="shared" si="47"/>
        <v>0.27328400102066858</v>
      </c>
      <c r="H731" s="2">
        <v>1.5</v>
      </c>
      <c r="I731" s="26">
        <v>0.83819444444444446</v>
      </c>
      <c r="J731" s="26">
        <v>0.87013888888888891</v>
      </c>
      <c r="K731" s="27">
        <f>Table3[[#This Row],[Delivery Time]]-Table3[[#This Row],[Order Time]]</f>
        <v>3.1944444444444442E-2</v>
      </c>
      <c r="L731" s="43">
        <v>46.000000000000007</v>
      </c>
      <c r="M731" s="25" t="s">
        <v>0</v>
      </c>
      <c r="N731" s="28"/>
      <c r="O731" s="28" t="s">
        <v>39</v>
      </c>
      <c r="P731" s="25" t="s">
        <v>20</v>
      </c>
    </row>
    <row r="732" spans="1:16" x14ac:dyDescent="0.25">
      <c r="A732" s="23">
        <f t="shared" si="44"/>
        <v>731</v>
      </c>
      <c r="B732" s="24">
        <v>43170</v>
      </c>
      <c r="C732" s="18" t="str">
        <f t="shared" si="45"/>
        <v>Sunday</v>
      </c>
      <c r="D732" s="10" t="str">
        <f t="shared" si="46"/>
        <v>Same</v>
      </c>
      <c r="E732" s="2">
        <v>69.77</v>
      </c>
      <c r="F732" s="2">
        <v>8</v>
      </c>
      <c r="G732" s="1">
        <f t="shared" si="47"/>
        <v>0.11466246237637955</v>
      </c>
      <c r="H732" s="2">
        <v>5</v>
      </c>
      <c r="I732" s="26">
        <v>0.83888888888888891</v>
      </c>
      <c r="J732" s="26">
        <v>0.87986111111111109</v>
      </c>
      <c r="K732" s="27">
        <f>Table3[[#This Row],[Delivery Time]]-Table3[[#This Row],[Order Time]]</f>
        <v>4.0972222222222188E-2</v>
      </c>
      <c r="L732" s="43">
        <v>59</v>
      </c>
      <c r="M732" s="25" t="s">
        <v>0</v>
      </c>
      <c r="N732" s="28"/>
      <c r="O732" s="28" t="s">
        <v>39</v>
      </c>
      <c r="P732" s="25" t="s">
        <v>20</v>
      </c>
    </row>
    <row r="733" spans="1:16" x14ac:dyDescent="0.25">
      <c r="A733" s="23">
        <f t="shared" si="44"/>
        <v>732</v>
      </c>
      <c r="B733" s="24">
        <v>43173</v>
      </c>
      <c r="C733" s="18" t="str">
        <f t="shared" si="45"/>
        <v>Wednesday</v>
      </c>
      <c r="D733" s="10" t="str">
        <f t="shared" si="46"/>
        <v>Different</v>
      </c>
      <c r="E733" s="2">
        <v>38.97</v>
      </c>
      <c r="F733" s="2">
        <v>6.03</v>
      </c>
      <c r="G733" s="1">
        <f t="shared" si="47"/>
        <v>0.15473441108545036</v>
      </c>
      <c r="H733" s="2">
        <v>1.5</v>
      </c>
      <c r="I733" s="26">
        <v>0.76944444444444438</v>
      </c>
      <c r="J733" s="26">
        <v>0.79375000000000007</v>
      </c>
      <c r="K733" s="27">
        <f>Table3[[#This Row],[Delivery Time]]-Table3[[#This Row],[Order Time]]</f>
        <v>2.4305555555555691E-2</v>
      </c>
      <c r="L733" s="43">
        <v>35</v>
      </c>
      <c r="M733" s="25" t="s">
        <v>11</v>
      </c>
      <c r="N733" s="28"/>
      <c r="O733" s="28" t="s">
        <v>40</v>
      </c>
      <c r="P733" s="25" t="s">
        <v>20</v>
      </c>
    </row>
    <row r="734" spans="1:16" x14ac:dyDescent="0.25">
      <c r="A734" s="23">
        <f t="shared" si="44"/>
        <v>733</v>
      </c>
      <c r="B734" s="24">
        <v>43173</v>
      </c>
      <c r="C734" s="18" t="str">
        <f t="shared" si="45"/>
        <v>Wednesday</v>
      </c>
      <c r="D734" s="10" t="str">
        <f t="shared" si="46"/>
        <v>Same</v>
      </c>
      <c r="E734" s="2">
        <v>17</v>
      </c>
      <c r="F734" s="2">
        <v>10</v>
      </c>
      <c r="G734" s="1">
        <f t="shared" si="47"/>
        <v>0.58823529411764708</v>
      </c>
      <c r="H734" s="2">
        <v>1.5</v>
      </c>
      <c r="I734" s="26">
        <v>0.77013888888888893</v>
      </c>
      <c r="J734" s="26">
        <v>0.8125</v>
      </c>
      <c r="K734" s="27">
        <f>Table3[[#This Row],[Delivery Time]]-Table3[[#This Row],[Order Time]]</f>
        <v>4.2361111111111072E-2</v>
      </c>
      <c r="L734" s="43">
        <v>61</v>
      </c>
      <c r="M734" s="25" t="s">
        <v>11</v>
      </c>
      <c r="N734" s="28"/>
      <c r="O734" s="28" t="s">
        <v>41</v>
      </c>
      <c r="P734" s="25" t="s">
        <v>20</v>
      </c>
    </row>
    <row r="735" spans="1:16" x14ac:dyDescent="0.25">
      <c r="A735" s="23">
        <f t="shared" si="44"/>
        <v>734</v>
      </c>
      <c r="B735" s="24">
        <v>43173</v>
      </c>
      <c r="C735" s="18" t="str">
        <f t="shared" si="45"/>
        <v>Wednesday</v>
      </c>
      <c r="D735" s="10" t="str">
        <f t="shared" si="46"/>
        <v>Same</v>
      </c>
      <c r="E735" s="2">
        <v>17</v>
      </c>
      <c r="F735" s="2">
        <v>5</v>
      </c>
      <c r="G735" s="1">
        <f t="shared" si="47"/>
        <v>0.29411764705882354</v>
      </c>
      <c r="H735" s="2">
        <v>1.5</v>
      </c>
      <c r="I735" s="26">
        <v>0.80486111111111114</v>
      </c>
      <c r="J735" s="26">
        <v>0.8340277777777777</v>
      </c>
      <c r="K735" s="27">
        <f>Table3[[#This Row],[Delivery Time]]-Table3[[#This Row],[Order Time]]</f>
        <v>2.9166666666666563E-2</v>
      </c>
      <c r="L735" s="43">
        <v>42</v>
      </c>
      <c r="M735" s="25" t="s">
        <v>0</v>
      </c>
      <c r="N735" s="28"/>
      <c r="O735" s="28" t="s">
        <v>39</v>
      </c>
      <c r="P735" s="25" t="s">
        <v>20</v>
      </c>
    </row>
    <row r="736" spans="1:16" x14ac:dyDescent="0.25">
      <c r="A736" s="23">
        <f t="shared" si="44"/>
        <v>735</v>
      </c>
      <c r="B736" s="24">
        <v>43173</v>
      </c>
      <c r="C736" s="18" t="str">
        <f t="shared" si="45"/>
        <v>Wednesday</v>
      </c>
      <c r="D736" s="10" t="str">
        <f t="shared" si="46"/>
        <v>Same</v>
      </c>
      <c r="E736" s="2">
        <v>50.23</v>
      </c>
      <c r="F736" s="2">
        <v>6</v>
      </c>
      <c r="G736" s="1">
        <f t="shared" si="47"/>
        <v>0.11945052757316346</v>
      </c>
      <c r="H736" s="2">
        <v>5</v>
      </c>
      <c r="I736" s="26">
        <v>0.82013888888888886</v>
      </c>
      <c r="J736" s="26">
        <v>0.84791666666666676</v>
      </c>
      <c r="K736" s="27">
        <f>Table3[[#This Row],[Delivery Time]]-Table3[[#This Row],[Order Time]]</f>
        <v>2.7777777777777901E-2</v>
      </c>
      <c r="L736" s="43">
        <v>40</v>
      </c>
      <c r="M736" s="25" t="s">
        <v>27</v>
      </c>
      <c r="N736" s="28"/>
      <c r="O736" s="28" t="s">
        <v>39</v>
      </c>
      <c r="P736" s="25" t="s">
        <v>20</v>
      </c>
    </row>
    <row r="737" spans="1:16" x14ac:dyDescent="0.25">
      <c r="A737" s="23">
        <f t="shared" si="44"/>
        <v>736</v>
      </c>
      <c r="B737" s="24">
        <v>43173</v>
      </c>
      <c r="C737" s="18" t="str">
        <f t="shared" si="45"/>
        <v>Wednesday</v>
      </c>
      <c r="D737" s="10" t="str">
        <f t="shared" si="46"/>
        <v>Same</v>
      </c>
      <c r="E737" s="2">
        <v>18.940000000000001</v>
      </c>
      <c r="F737" s="2">
        <v>3</v>
      </c>
      <c r="G737" s="1">
        <f t="shared" si="47"/>
        <v>0.1583949313621964</v>
      </c>
      <c r="H737" s="2">
        <v>1.5</v>
      </c>
      <c r="I737" s="26">
        <v>0.84513888888888899</v>
      </c>
      <c r="J737" s="26">
        <v>0.88611111111111107</v>
      </c>
      <c r="K737" s="27">
        <f>Table3[[#This Row],[Delivery Time]]-Table3[[#This Row],[Order Time]]</f>
        <v>4.0972222222222077E-2</v>
      </c>
      <c r="L737" s="43">
        <v>59</v>
      </c>
      <c r="M737" s="25" t="s">
        <v>11</v>
      </c>
      <c r="N737" s="28"/>
      <c r="O737" s="28" t="s">
        <v>41</v>
      </c>
      <c r="P737" s="25" t="s">
        <v>20</v>
      </c>
    </row>
    <row r="738" spans="1:16" x14ac:dyDescent="0.25">
      <c r="A738" s="23">
        <f t="shared" si="44"/>
        <v>737</v>
      </c>
      <c r="B738" s="24">
        <v>43173</v>
      </c>
      <c r="C738" s="18" t="str">
        <f t="shared" si="45"/>
        <v>Wednesday</v>
      </c>
      <c r="D738" s="10" t="str">
        <f t="shared" si="46"/>
        <v>Same</v>
      </c>
      <c r="E738" s="2">
        <v>44.06</v>
      </c>
      <c r="F738" s="2">
        <v>7.94</v>
      </c>
      <c r="G738" s="1">
        <f t="shared" si="47"/>
        <v>0.1802088061733999</v>
      </c>
      <c r="H738" s="2">
        <v>1.5</v>
      </c>
      <c r="I738" s="26">
        <v>0.85902777777777783</v>
      </c>
      <c r="J738" s="26">
        <v>0.89444444444444438</v>
      </c>
      <c r="K738" s="27">
        <f>Table3[[#This Row],[Delivery Time]]-Table3[[#This Row],[Order Time]]</f>
        <v>3.5416666666666541E-2</v>
      </c>
      <c r="L738" s="43">
        <v>51</v>
      </c>
      <c r="M738" s="25" t="s">
        <v>11</v>
      </c>
      <c r="N738" s="28"/>
      <c r="O738" s="28" t="s">
        <v>40</v>
      </c>
      <c r="P738" s="25" t="s">
        <v>20</v>
      </c>
    </row>
    <row r="739" spans="1:16" x14ac:dyDescent="0.25">
      <c r="A739" s="23">
        <f t="shared" si="44"/>
        <v>738</v>
      </c>
      <c r="B739" s="24">
        <v>43173</v>
      </c>
      <c r="C739" s="18" t="str">
        <f t="shared" si="45"/>
        <v>Wednesday</v>
      </c>
      <c r="D739" s="10" t="str">
        <f t="shared" si="46"/>
        <v>Same</v>
      </c>
      <c r="E739" s="2">
        <v>19.7</v>
      </c>
      <c r="F739" s="2">
        <v>5</v>
      </c>
      <c r="G739" s="1">
        <f t="shared" si="47"/>
        <v>0.25380710659898476</v>
      </c>
      <c r="H739" s="2">
        <v>5</v>
      </c>
      <c r="I739" s="26">
        <v>0.85902777777777783</v>
      </c>
      <c r="J739" s="26">
        <v>0.91180555555555554</v>
      </c>
      <c r="K739" s="27">
        <f>Table3[[#This Row],[Delivery Time]]-Table3[[#This Row],[Order Time]]</f>
        <v>5.2777777777777701E-2</v>
      </c>
      <c r="L739" s="43">
        <v>76</v>
      </c>
      <c r="M739" s="25" t="s">
        <v>0</v>
      </c>
      <c r="N739" s="28"/>
      <c r="O739" s="28" t="s">
        <v>39</v>
      </c>
      <c r="P739" s="25" t="s">
        <v>20</v>
      </c>
    </row>
    <row r="740" spans="1:16" x14ac:dyDescent="0.25">
      <c r="A740" s="23">
        <f t="shared" si="44"/>
        <v>739</v>
      </c>
      <c r="B740" s="24">
        <v>43175</v>
      </c>
      <c r="C740" s="18" t="str">
        <f t="shared" si="45"/>
        <v>Friday</v>
      </c>
      <c r="D740" s="10" t="str">
        <f t="shared" si="46"/>
        <v>Different</v>
      </c>
      <c r="E740" s="2">
        <v>25.66</v>
      </c>
      <c r="F740" s="2">
        <v>5</v>
      </c>
      <c r="G740" s="1">
        <f t="shared" si="47"/>
        <v>0.19485580670303976</v>
      </c>
      <c r="H740" s="2">
        <v>5</v>
      </c>
      <c r="I740" s="26">
        <v>0.75347222222222221</v>
      </c>
      <c r="J740" s="26">
        <v>0.77638888888888891</v>
      </c>
      <c r="K740" s="27">
        <f>Table3[[#This Row],[Delivery Time]]-Table3[[#This Row],[Order Time]]</f>
        <v>2.2916666666666696E-2</v>
      </c>
      <c r="L740" s="43">
        <v>33</v>
      </c>
      <c r="M740" s="25" t="s">
        <v>0</v>
      </c>
      <c r="N740" s="28"/>
      <c r="O740" s="28" t="s">
        <v>39</v>
      </c>
      <c r="P740" s="25" t="s">
        <v>20</v>
      </c>
    </row>
    <row r="741" spans="1:16" x14ac:dyDescent="0.25">
      <c r="A741" s="23">
        <f t="shared" si="44"/>
        <v>740</v>
      </c>
      <c r="B741" s="24">
        <v>43175</v>
      </c>
      <c r="C741" s="18" t="str">
        <f t="shared" si="45"/>
        <v>Friday</v>
      </c>
      <c r="D741" s="10" t="str">
        <f t="shared" si="46"/>
        <v>Same</v>
      </c>
      <c r="E741" s="2">
        <v>25.44</v>
      </c>
      <c r="F741" s="2">
        <v>5</v>
      </c>
      <c r="G741" s="1">
        <f t="shared" si="47"/>
        <v>0.19654088050314464</v>
      </c>
      <c r="H741" s="2">
        <v>1.5</v>
      </c>
      <c r="I741" s="26">
        <v>0.79513888888888884</v>
      </c>
      <c r="J741" s="26">
        <v>0.8256944444444444</v>
      </c>
      <c r="K741" s="27">
        <f>Table3[[#This Row],[Delivery Time]]-Table3[[#This Row],[Order Time]]</f>
        <v>3.0555555555555558E-2</v>
      </c>
      <c r="L741" s="43">
        <v>44</v>
      </c>
      <c r="M741" s="25" t="s">
        <v>0</v>
      </c>
      <c r="N741" s="28"/>
      <c r="O741" s="28" t="s">
        <v>39</v>
      </c>
      <c r="P741" s="25" t="s">
        <v>20</v>
      </c>
    </row>
    <row r="742" spans="1:16" x14ac:dyDescent="0.25">
      <c r="A742" s="23">
        <f t="shared" si="44"/>
        <v>741</v>
      </c>
      <c r="B742" s="24">
        <v>43175</v>
      </c>
      <c r="C742" s="18" t="str">
        <f t="shared" si="45"/>
        <v>Friday</v>
      </c>
      <c r="D742" s="10" t="str">
        <f t="shared" si="46"/>
        <v>Same</v>
      </c>
      <c r="E742" s="2">
        <v>42.92</v>
      </c>
      <c r="F742" s="2">
        <v>5</v>
      </c>
      <c r="G742" s="1">
        <f t="shared" si="47"/>
        <v>0.11649580615097856</v>
      </c>
      <c r="H742" s="2">
        <v>1.5</v>
      </c>
      <c r="I742" s="26">
        <v>0.82986111111111116</v>
      </c>
      <c r="J742" s="26">
        <v>0.85555555555555562</v>
      </c>
      <c r="K742" s="27">
        <f>Table3[[#This Row],[Delivery Time]]-Table3[[#This Row],[Order Time]]</f>
        <v>2.5694444444444464E-2</v>
      </c>
      <c r="L742" s="43">
        <v>37</v>
      </c>
      <c r="M742" s="25" t="s">
        <v>0</v>
      </c>
      <c r="N742" s="28"/>
      <c r="O742" s="28" t="s">
        <v>39</v>
      </c>
      <c r="P742" s="25" t="s">
        <v>20</v>
      </c>
    </row>
    <row r="743" spans="1:16" x14ac:dyDescent="0.25">
      <c r="A743" s="23">
        <f t="shared" si="44"/>
        <v>742</v>
      </c>
      <c r="B743" s="24">
        <v>43175</v>
      </c>
      <c r="C743" s="18" t="str">
        <f t="shared" si="45"/>
        <v>Friday</v>
      </c>
      <c r="D743" s="10" t="str">
        <f t="shared" si="46"/>
        <v>Same</v>
      </c>
      <c r="E743" s="2">
        <v>48.66</v>
      </c>
      <c r="F743" s="2">
        <v>7</v>
      </c>
      <c r="G743" s="1">
        <f t="shared" si="47"/>
        <v>0.14385532264693796</v>
      </c>
      <c r="H743" s="2">
        <v>5</v>
      </c>
      <c r="I743" s="26">
        <v>0.83611111111111114</v>
      </c>
      <c r="J743" s="26">
        <v>0.86319444444444438</v>
      </c>
      <c r="K743" s="27">
        <f>Table3[[#This Row],[Delivery Time]]-Table3[[#This Row],[Order Time]]</f>
        <v>2.7083333333333237E-2</v>
      </c>
      <c r="L743" s="43">
        <v>39</v>
      </c>
      <c r="M743" s="25" t="s">
        <v>0</v>
      </c>
      <c r="N743" s="28"/>
      <c r="O743" s="28" t="s">
        <v>39</v>
      </c>
      <c r="P743" s="25" t="s">
        <v>20</v>
      </c>
    </row>
    <row r="744" spans="1:16" x14ac:dyDescent="0.25">
      <c r="A744" s="23">
        <f t="shared" si="44"/>
        <v>743</v>
      </c>
      <c r="B744" s="24">
        <v>43175</v>
      </c>
      <c r="C744" s="18" t="str">
        <f t="shared" si="45"/>
        <v>Friday</v>
      </c>
      <c r="D744" s="10" t="str">
        <f t="shared" si="46"/>
        <v>Same</v>
      </c>
      <c r="E744" s="2">
        <v>35.4</v>
      </c>
      <c r="F744" s="2">
        <v>6</v>
      </c>
      <c r="G744" s="1">
        <f t="shared" si="47"/>
        <v>0.16949152542372883</v>
      </c>
      <c r="H744" s="2">
        <v>1.5</v>
      </c>
      <c r="I744" s="26">
        <v>0.87569444444444444</v>
      </c>
      <c r="J744" s="26">
        <v>0.90277777777777779</v>
      </c>
      <c r="K744" s="27">
        <f>Table3[[#This Row],[Delivery Time]]-Table3[[#This Row],[Order Time]]</f>
        <v>2.7083333333333348E-2</v>
      </c>
      <c r="L744" s="43">
        <v>39</v>
      </c>
      <c r="M744" s="25" t="s">
        <v>0</v>
      </c>
      <c r="N744" s="28"/>
      <c r="O744" s="28" t="s">
        <v>41</v>
      </c>
      <c r="P744" s="25" t="s">
        <v>20</v>
      </c>
    </row>
    <row r="745" spans="1:16" x14ac:dyDescent="0.25">
      <c r="A745" s="23">
        <f t="shared" si="44"/>
        <v>744</v>
      </c>
      <c r="B745" s="24">
        <v>43175</v>
      </c>
      <c r="C745" s="18" t="str">
        <f t="shared" si="45"/>
        <v>Friday</v>
      </c>
      <c r="D745" s="10" t="str">
        <f t="shared" si="46"/>
        <v>Same</v>
      </c>
      <c r="E745" s="2">
        <v>152.15</v>
      </c>
      <c r="F745" s="2">
        <v>10</v>
      </c>
      <c r="G745" s="1">
        <f t="shared" si="47"/>
        <v>6.5724613867893522E-2</v>
      </c>
      <c r="H745" s="2">
        <v>1.5</v>
      </c>
      <c r="I745" s="26">
        <v>0.91041666666666676</v>
      </c>
      <c r="J745" s="26">
        <v>0.93333333333333324</v>
      </c>
      <c r="K745" s="27">
        <f>Table3[[#This Row],[Delivery Time]]-Table3[[#This Row],[Order Time]]</f>
        <v>2.2916666666666474E-2</v>
      </c>
      <c r="L745" s="43">
        <v>33</v>
      </c>
      <c r="M745" s="25" t="s">
        <v>0</v>
      </c>
      <c r="N745" s="28"/>
      <c r="O745" s="28" t="s">
        <v>42</v>
      </c>
      <c r="P745" s="25" t="s">
        <v>20</v>
      </c>
    </row>
    <row r="746" spans="1:16" x14ac:dyDescent="0.25">
      <c r="A746" s="23">
        <f t="shared" si="44"/>
        <v>745</v>
      </c>
      <c r="B746" s="24">
        <v>43176</v>
      </c>
      <c r="C746" s="18" t="str">
        <f t="shared" si="45"/>
        <v>Saturday</v>
      </c>
      <c r="D746" s="10" t="str">
        <f t="shared" si="46"/>
        <v>Different</v>
      </c>
      <c r="E746" s="2">
        <v>18.62</v>
      </c>
      <c r="F746" s="2">
        <v>4</v>
      </c>
      <c r="G746" s="1">
        <f t="shared" si="47"/>
        <v>0.21482277121374865</v>
      </c>
      <c r="H746" s="2">
        <v>1.5</v>
      </c>
      <c r="I746" s="26">
        <v>0.74375000000000002</v>
      </c>
      <c r="J746" s="26">
        <v>0.7631944444444444</v>
      </c>
      <c r="K746" s="27">
        <f>Table3[[#This Row],[Delivery Time]]-Table3[[#This Row],[Order Time]]</f>
        <v>1.9444444444444375E-2</v>
      </c>
      <c r="L746" s="43">
        <v>28</v>
      </c>
      <c r="M746" s="25" t="s">
        <v>0</v>
      </c>
      <c r="N746" s="28"/>
      <c r="O746" s="28" t="s">
        <v>39</v>
      </c>
      <c r="P746" s="25" t="s">
        <v>20</v>
      </c>
    </row>
    <row r="747" spans="1:16" x14ac:dyDescent="0.25">
      <c r="A747" s="23">
        <f t="shared" si="44"/>
        <v>746</v>
      </c>
      <c r="B747" s="24">
        <v>43176</v>
      </c>
      <c r="C747" s="18" t="str">
        <f t="shared" si="45"/>
        <v>Saturday</v>
      </c>
      <c r="D747" s="10" t="str">
        <f t="shared" si="46"/>
        <v>Same</v>
      </c>
      <c r="E747" s="2">
        <v>34.799999999999997</v>
      </c>
      <c r="F747" s="2">
        <v>7</v>
      </c>
      <c r="G747" s="1">
        <f t="shared" si="47"/>
        <v>0.20114942528735633</v>
      </c>
      <c r="H747" s="2">
        <v>1.5</v>
      </c>
      <c r="I747" s="26">
        <v>0.74791666666666667</v>
      </c>
      <c r="J747" s="26">
        <v>0.77500000000000002</v>
      </c>
      <c r="K747" s="27">
        <f>Table3[[#This Row],[Delivery Time]]-Table3[[#This Row],[Order Time]]</f>
        <v>2.7083333333333348E-2</v>
      </c>
      <c r="L747" s="43">
        <v>39</v>
      </c>
      <c r="M747" s="25" t="s">
        <v>0</v>
      </c>
      <c r="N747" s="28"/>
      <c r="O747" s="28" t="s">
        <v>39</v>
      </c>
      <c r="P747" s="25" t="s">
        <v>20</v>
      </c>
    </row>
    <row r="748" spans="1:16" x14ac:dyDescent="0.25">
      <c r="A748" s="23">
        <f t="shared" si="44"/>
        <v>747</v>
      </c>
      <c r="B748" s="24">
        <v>43176</v>
      </c>
      <c r="C748" s="18" t="str">
        <f t="shared" si="45"/>
        <v>Saturday</v>
      </c>
      <c r="D748" s="10" t="str">
        <f t="shared" si="46"/>
        <v>Same</v>
      </c>
      <c r="E748" s="2">
        <v>34.32</v>
      </c>
      <c r="F748" s="2">
        <v>4</v>
      </c>
      <c r="G748" s="1">
        <f t="shared" si="47"/>
        <v>0.11655011655011654</v>
      </c>
      <c r="H748" s="2">
        <v>1.5</v>
      </c>
      <c r="I748" s="26">
        <v>0.82291666666666663</v>
      </c>
      <c r="J748" s="26">
        <v>0.84583333333333333</v>
      </c>
      <c r="K748" s="27">
        <f>Table3[[#This Row],[Delivery Time]]-Table3[[#This Row],[Order Time]]</f>
        <v>2.2916666666666696E-2</v>
      </c>
      <c r="L748" s="43">
        <v>33</v>
      </c>
      <c r="M748" s="25" t="s">
        <v>0</v>
      </c>
      <c r="N748" s="28" t="s">
        <v>26</v>
      </c>
      <c r="O748" s="28" t="s">
        <v>39</v>
      </c>
      <c r="P748" s="25" t="s">
        <v>20</v>
      </c>
    </row>
    <row r="749" spans="1:16" x14ac:dyDescent="0.25">
      <c r="A749" s="23">
        <f t="shared" si="44"/>
        <v>748</v>
      </c>
      <c r="B749" s="24">
        <v>43176</v>
      </c>
      <c r="C749" s="18" t="str">
        <f t="shared" si="45"/>
        <v>Saturday</v>
      </c>
      <c r="D749" s="10" t="str">
        <f t="shared" si="46"/>
        <v>Same</v>
      </c>
      <c r="E749" s="2">
        <v>20.02</v>
      </c>
      <c r="F749" s="2">
        <v>4</v>
      </c>
      <c r="G749" s="1">
        <f t="shared" si="47"/>
        <v>0.19980019980019981</v>
      </c>
      <c r="H749" s="2">
        <v>1.5</v>
      </c>
      <c r="I749" s="26">
        <v>0.81180555555555556</v>
      </c>
      <c r="J749" s="26">
        <v>0.85069444444444453</v>
      </c>
      <c r="K749" s="27">
        <f>Table3[[#This Row],[Delivery Time]]-Table3[[#This Row],[Order Time]]</f>
        <v>3.8888888888888973E-2</v>
      </c>
      <c r="L749" s="43">
        <v>56</v>
      </c>
      <c r="M749" s="25" t="s">
        <v>0</v>
      </c>
      <c r="N749" s="28"/>
      <c r="O749" s="28" t="s">
        <v>39</v>
      </c>
      <c r="P749" s="25" t="s">
        <v>20</v>
      </c>
    </row>
    <row r="750" spans="1:16" x14ac:dyDescent="0.25">
      <c r="A750" s="23">
        <f t="shared" si="44"/>
        <v>749</v>
      </c>
      <c r="B750" s="24">
        <v>43176</v>
      </c>
      <c r="C750" s="18" t="str">
        <f t="shared" si="45"/>
        <v>Saturday</v>
      </c>
      <c r="D750" s="10" t="str">
        <f t="shared" si="46"/>
        <v>Same</v>
      </c>
      <c r="E750" s="2">
        <v>28.09</v>
      </c>
      <c r="F750" s="2">
        <v>3</v>
      </c>
      <c r="G750" s="1">
        <f t="shared" si="47"/>
        <v>0.10679957280170879</v>
      </c>
      <c r="H750" s="2">
        <v>1.5</v>
      </c>
      <c r="I750" s="26">
        <v>0.81736111111111109</v>
      </c>
      <c r="J750" s="26">
        <v>0.8569444444444444</v>
      </c>
      <c r="K750" s="27">
        <f>Table3[[#This Row],[Delivery Time]]-Table3[[#This Row],[Order Time]]</f>
        <v>3.9583333333333304E-2</v>
      </c>
      <c r="L750" s="43">
        <v>57</v>
      </c>
      <c r="M750" s="25" t="s">
        <v>0</v>
      </c>
      <c r="N750" s="28"/>
      <c r="O750" s="28" t="s">
        <v>39</v>
      </c>
      <c r="P750" s="25" t="s">
        <v>20</v>
      </c>
    </row>
    <row r="751" spans="1:16" x14ac:dyDescent="0.25">
      <c r="A751" s="23">
        <f t="shared" si="44"/>
        <v>750</v>
      </c>
      <c r="B751" s="24">
        <v>43177</v>
      </c>
      <c r="C751" s="18" t="str">
        <f t="shared" si="45"/>
        <v>Sunday</v>
      </c>
      <c r="D751" s="10" t="str">
        <f t="shared" si="46"/>
        <v>Different</v>
      </c>
      <c r="E751" s="2">
        <v>22.41</v>
      </c>
      <c r="F751" s="2">
        <v>4</v>
      </c>
      <c r="G751" s="1">
        <f t="shared" si="47"/>
        <v>0.17849174475680499</v>
      </c>
      <c r="H751" s="2">
        <v>1.5</v>
      </c>
      <c r="I751" s="26">
        <v>0.6875</v>
      </c>
      <c r="J751" s="26">
        <v>0.7090277777777777</v>
      </c>
      <c r="K751" s="27">
        <f>Table3[[#This Row],[Delivery Time]]-Table3[[#This Row],[Order Time]]</f>
        <v>2.1527777777777701E-2</v>
      </c>
      <c r="L751" s="43">
        <v>31.000000000000004</v>
      </c>
      <c r="M751" s="25" t="s">
        <v>11</v>
      </c>
      <c r="N751" s="28"/>
      <c r="O751" s="28" t="s">
        <v>39</v>
      </c>
      <c r="P751" s="25" t="s">
        <v>20</v>
      </c>
    </row>
    <row r="752" spans="1:16" x14ac:dyDescent="0.25">
      <c r="A752" s="23">
        <f t="shared" si="44"/>
        <v>751</v>
      </c>
      <c r="B752" s="24">
        <v>43177</v>
      </c>
      <c r="C752" s="18" t="str">
        <f t="shared" si="45"/>
        <v>Sunday</v>
      </c>
      <c r="D752" s="10" t="str">
        <f t="shared" si="46"/>
        <v>Same</v>
      </c>
      <c r="E752" s="2">
        <v>50.88</v>
      </c>
      <c r="F752" s="2">
        <v>10</v>
      </c>
      <c r="G752" s="1">
        <f t="shared" si="47"/>
        <v>0.19654088050314464</v>
      </c>
      <c r="H752" s="2">
        <v>1.5</v>
      </c>
      <c r="I752" s="26">
        <v>0.7090277777777777</v>
      </c>
      <c r="J752" s="26">
        <v>0.73055555555555562</v>
      </c>
      <c r="K752" s="27">
        <f>Table3[[#This Row],[Delivery Time]]-Table3[[#This Row],[Order Time]]</f>
        <v>2.1527777777777923E-2</v>
      </c>
      <c r="L752" s="43">
        <v>31.000000000000004</v>
      </c>
      <c r="M752" s="25" t="s">
        <v>0</v>
      </c>
      <c r="N752" s="28" t="s">
        <v>25</v>
      </c>
      <c r="O752" s="28" t="s">
        <v>39</v>
      </c>
      <c r="P752" s="25" t="s">
        <v>20</v>
      </c>
    </row>
    <row r="753" spans="1:16" x14ac:dyDescent="0.25">
      <c r="A753" s="23">
        <f t="shared" si="44"/>
        <v>752</v>
      </c>
      <c r="B753" s="24">
        <v>43177</v>
      </c>
      <c r="C753" s="18" t="str">
        <f t="shared" si="45"/>
        <v>Sunday</v>
      </c>
      <c r="D753" s="10" t="str">
        <f t="shared" si="46"/>
        <v>Same</v>
      </c>
      <c r="E753" s="2">
        <v>16.18</v>
      </c>
      <c r="F753" s="2">
        <v>5</v>
      </c>
      <c r="G753" s="1">
        <f t="shared" si="47"/>
        <v>0.30902348578491967</v>
      </c>
      <c r="H753" s="2">
        <v>1.5</v>
      </c>
      <c r="I753" s="26">
        <v>0.71111111111111114</v>
      </c>
      <c r="J753" s="26">
        <v>0.7402777777777777</v>
      </c>
      <c r="K753" s="27">
        <f>Table3[[#This Row],[Delivery Time]]-Table3[[#This Row],[Order Time]]</f>
        <v>2.9166666666666563E-2</v>
      </c>
      <c r="L753" s="43">
        <v>42</v>
      </c>
      <c r="M753" s="25" t="s">
        <v>0</v>
      </c>
      <c r="N753" s="28"/>
      <c r="O753" s="28" t="s">
        <v>41</v>
      </c>
      <c r="P753" s="25" t="s">
        <v>20</v>
      </c>
    </row>
    <row r="754" spans="1:16" x14ac:dyDescent="0.25">
      <c r="A754" s="23">
        <f t="shared" si="44"/>
        <v>753</v>
      </c>
      <c r="B754" s="24">
        <v>43177</v>
      </c>
      <c r="C754" s="18" t="str">
        <f t="shared" si="45"/>
        <v>Sunday</v>
      </c>
      <c r="D754" s="10" t="str">
        <f t="shared" si="46"/>
        <v>Same</v>
      </c>
      <c r="E754" s="2">
        <v>43.79</v>
      </c>
      <c r="F754" s="2">
        <v>7</v>
      </c>
      <c r="G754" s="1">
        <f t="shared" si="47"/>
        <v>0.15985384791048185</v>
      </c>
      <c r="H754" s="2">
        <v>1.5</v>
      </c>
      <c r="I754" s="26">
        <v>0.75</v>
      </c>
      <c r="J754" s="26">
        <v>0.77430555555555547</v>
      </c>
      <c r="K754" s="27">
        <f>Table3[[#This Row],[Delivery Time]]-Table3[[#This Row],[Order Time]]</f>
        <v>2.4305555555555469E-2</v>
      </c>
      <c r="L754" s="43">
        <v>35</v>
      </c>
      <c r="M754" s="25" t="s">
        <v>11</v>
      </c>
      <c r="N754" s="28"/>
      <c r="O754" s="28" t="s">
        <v>39</v>
      </c>
      <c r="P754" s="25" t="s">
        <v>20</v>
      </c>
    </row>
    <row r="755" spans="1:16" x14ac:dyDescent="0.25">
      <c r="A755" s="23">
        <f t="shared" si="44"/>
        <v>754</v>
      </c>
      <c r="B755" s="24">
        <v>43177</v>
      </c>
      <c r="C755" s="18" t="str">
        <f t="shared" si="45"/>
        <v>Sunday</v>
      </c>
      <c r="D755" s="10" t="str">
        <f t="shared" si="46"/>
        <v>Same</v>
      </c>
      <c r="E755" s="2">
        <v>23.35</v>
      </c>
      <c r="F755" s="2">
        <v>5</v>
      </c>
      <c r="G755" s="1">
        <f t="shared" si="47"/>
        <v>0.21413276231263381</v>
      </c>
      <c r="H755" s="2">
        <v>1.5</v>
      </c>
      <c r="I755" s="26">
        <v>0.78194444444444444</v>
      </c>
      <c r="J755" s="26">
        <v>0.80347222222222225</v>
      </c>
      <c r="K755" s="27">
        <f>Table3[[#This Row],[Delivery Time]]-Table3[[#This Row],[Order Time]]</f>
        <v>2.1527777777777812E-2</v>
      </c>
      <c r="L755" s="43">
        <v>31.000000000000004</v>
      </c>
      <c r="M755" s="25" t="s">
        <v>0</v>
      </c>
      <c r="N755" s="28" t="s">
        <v>26</v>
      </c>
      <c r="O755" s="28" t="s">
        <v>39</v>
      </c>
      <c r="P755" s="25" t="s">
        <v>20</v>
      </c>
    </row>
    <row r="756" spans="1:16" x14ac:dyDescent="0.25">
      <c r="A756" s="23">
        <f t="shared" si="44"/>
        <v>755</v>
      </c>
      <c r="B756" s="24">
        <v>43177</v>
      </c>
      <c r="C756" s="18" t="str">
        <f t="shared" si="45"/>
        <v>Sunday</v>
      </c>
      <c r="D756" s="10" t="str">
        <f t="shared" si="46"/>
        <v>Same</v>
      </c>
      <c r="E756" s="2">
        <v>30.31</v>
      </c>
      <c r="F756" s="2">
        <v>3</v>
      </c>
      <c r="G756" s="1">
        <f t="shared" si="47"/>
        <v>9.8977235235895744E-2</v>
      </c>
      <c r="H756" s="2">
        <v>1.5</v>
      </c>
      <c r="I756" s="26">
        <v>0.80625000000000002</v>
      </c>
      <c r="J756" s="26">
        <v>0.83194444444444438</v>
      </c>
      <c r="K756" s="27">
        <f>Table3[[#This Row],[Delivery Time]]-Table3[[#This Row],[Order Time]]</f>
        <v>2.5694444444444353E-2</v>
      </c>
      <c r="L756" s="43">
        <v>37</v>
      </c>
      <c r="M756" s="25" t="s">
        <v>0</v>
      </c>
      <c r="N756" s="28"/>
      <c r="O756" s="28" t="s">
        <v>39</v>
      </c>
      <c r="P756" s="25" t="s">
        <v>20</v>
      </c>
    </row>
    <row r="757" spans="1:16" x14ac:dyDescent="0.25">
      <c r="A757" s="23">
        <f t="shared" si="44"/>
        <v>756</v>
      </c>
      <c r="B757" s="24">
        <v>43182</v>
      </c>
      <c r="C757" s="18" t="str">
        <f t="shared" si="45"/>
        <v>Friday</v>
      </c>
      <c r="D757" s="10" t="str">
        <f t="shared" si="46"/>
        <v>Different</v>
      </c>
      <c r="E757" s="2">
        <v>29.44</v>
      </c>
      <c r="F757" s="2">
        <v>5.56</v>
      </c>
      <c r="G757" s="1">
        <f t="shared" si="47"/>
        <v>0.18885869565217389</v>
      </c>
      <c r="H757" s="2">
        <v>5</v>
      </c>
      <c r="I757" s="26">
        <v>0.75</v>
      </c>
      <c r="J757" s="26">
        <v>0.75</v>
      </c>
      <c r="K757" s="27">
        <f>Table3[[#This Row],[Delivery Time]]-Table3[[#This Row],[Order Time]]</f>
        <v>0</v>
      </c>
      <c r="L757" s="43">
        <v>0</v>
      </c>
      <c r="M757" s="25" t="s">
        <v>0</v>
      </c>
      <c r="N757" s="28"/>
      <c r="O757" s="28" t="s">
        <v>39</v>
      </c>
      <c r="P757" s="25" t="s">
        <v>16</v>
      </c>
    </row>
    <row r="758" spans="1:16" x14ac:dyDescent="0.25">
      <c r="A758" s="23">
        <f t="shared" si="44"/>
        <v>757</v>
      </c>
      <c r="B758" s="24">
        <v>43182</v>
      </c>
      <c r="C758" s="18" t="str">
        <f t="shared" si="45"/>
        <v>Friday</v>
      </c>
      <c r="D758" s="10" t="str">
        <f t="shared" si="46"/>
        <v>Same</v>
      </c>
      <c r="E758" s="2">
        <v>37.29</v>
      </c>
      <c r="F758" s="2">
        <v>8</v>
      </c>
      <c r="G758" s="1">
        <f t="shared" si="47"/>
        <v>0.2145347278090641</v>
      </c>
      <c r="H758" s="2">
        <v>1.5</v>
      </c>
      <c r="I758" s="26">
        <v>0.72222222222222221</v>
      </c>
      <c r="J758" s="26">
        <v>0.7597222222222223</v>
      </c>
      <c r="K758" s="27">
        <f>Table3[[#This Row],[Delivery Time]]-Table3[[#This Row],[Order Time]]</f>
        <v>3.7500000000000089E-2</v>
      </c>
      <c r="L758" s="43">
        <v>53.999999999999993</v>
      </c>
      <c r="M758" s="25" t="s">
        <v>0</v>
      </c>
      <c r="N758" s="28" t="s">
        <v>25</v>
      </c>
      <c r="O758" s="28" t="s">
        <v>39</v>
      </c>
      <c r="P758" s="25" t="s">
        <v>20</v>
      </c>
    </row>
    <row r="759" spans="1:16" x14ac:dyDescent="0.25">
      <c r="A759" s="23">
        <f t="shared" si="44"/>
        <v>758</v>
      </c>
      <c r="B759" s="24">
        <v>43182</v>
      </c>
      <c r="C759" s="18" t="str">
        <f t="shared" si="45"/>
        <v>Friday</v>
      </c>
      <c r="D759" s="10" t="str">
        <f t="shared" si="46"/>
        <v>Same</v>
      </c>
      <c r="E759" s="2">
        <v>36.479999999999997</v>
      </c>
      <c r="F759" s="2">
        <v>6</v>
      </c>
      <c r="G759" s="1">
        <f t="shared" si="47"/>
        <v>0.16447368421052633</v>
      </c>
      <c r="H759" s="2">
        <v>1.5</v>
      </c>
      <c r="I759" s="26">
        <v>0.72013888888888899</v>
      </c>
      <c r="J759" s="26">
        <v>0.76666666666666661</v>
      </c>
      <c r="K759" s="27">
        <f>Table3[[#This Row],[Delivery Time]]-Table3[[#This Row],[Order Time]]</f>
        <v>4.6527777777777612E-2</v>
      </c>
      <c r="L759" s="43">
        <v>67</v>
      </c>
      <c r="M759" s="25" t="s">
        <v>0</v>
      </c>
      <c r="N759" s="28"/>
      <c r="O759" s="28" t="s">
        <v>39</v>
      </c>
      <c r="P759" s="25" t="s">
        <v>20</v>
      </c>
    </row>
    <row r="760" spans="1:16" x14ac:dyDescent="0.25">
      <c r="A760" s="23">
        <f t="shared" si="44"/>
        <v>759</v>
      </c>
      <c r="B760" s="24">
        <v>43182</v>
      </c>
      <c r="C760" s="18" t="str">
        <f t="shared" si="45"/>
        <v>Friday</v>
      </c>
      <c r="D760" s="10" t="str">
        <f t="shared" si="46"/>
        <v>Same</v>
      </c>
      <c r="E760" s="2">
        <v>34.1</v>
      </c>
      <c r="F760" s="2">
        <v>5</v>
      </c>
      <c r="G760" s="1">
        <f t="shared" si="47"/>
        <v>0.14662756598240467</v>
      </c>
      <c r="H760" s="2">
        <v>1.5</v>
      </c>
      <c r="I760" s="26">
        <v>0.75763888888888886</v>
      </c>
      <c r="J760" s="26">
        <v>0.79166666666666663</v>
      </c>
      <c r="K760" s="27">
        <f>Table3[[#This Row],[Delivery Time]]-Table3[[#This Row],[Order Time]]</f>
        <v>3.4027777777777768E-2</v>
      </c>
      <c r="L760" s="43">
        <v>49</v>
      </c>
      <c r="M760" s="25" t="s">
        <v>0</v>
      </c>
      <c r="N760" s="28" t="s">
        <v>24</v>
      </c>
      <c r="O760" s="28" t="s">
        <v>39</v>
      </c>
      <c r="P760" s="25" t="s">
        <v>20</v>
      </c>
    </row>
    <row r="761" spans="1:16" x14ac:dyDescent="0.25">
      <c r="A761" s="23">
        <f t="shared" si="44"/>
        <v>760</v>
      </c>
      <c r="B761" s="24">
        <v>43182</v>
      </c>
      <c r="C761" s="18" t="str">
        <f t="shared" si="45"/>
        <v>Friday</v>
      </c>
      <c r="D761" s="10" t="str">
        <f t="shared" si="46"/>
        <v>Same</v>
      </c>
      <c r="E761" s="2">
        <v>6.71</v>
      </c>
      <c r="F761" s="2">
        <v>5.29</v>
      </c>
      <c r="G761" s="1">
        <f t="shared" si="47"/>
        <v>0.7883755588673621</v>
      </c>
      <c r="H761" s="2">
        <v>1.5</v>
      </c>
      <c r="I761" s="26">
        <v>0.76458333333333339</v>
      </c>
      <c r="J761" s="26">
        <v>0.79583333333333339</v>
      </c>
      <c r="K761" s="27">
        <f>Table3[[#This Row],[Delivery Time]]-Table3[[#This Row],[Order Time]]</f>
        <v>3.125E-2</v>
      </c>
      <c r="L761" s="43">
        <v>45</v>
      </c>
      <c r="M761" s="25" t="s">
        <v>0</v>
      </c>
      <c r="N761" s="28" t="s">
        <v>24</v>
      </c>
      <c r="O761" s="28" t="s">
        <v>39</v>
      </c>
      <c r="P761" s="25" t="s">
        <v>20</v>
      </c>
    </row>
    <row r="762" spans="1:16" x14ac:dyDescent="0.25">
      <c r="A762" s="23">
        <f t="shared" si="44"/>
        <v>761</v>
      </c>
      <c r="B762" s="24">
        <v>43182</v>
      </c>
      <c r="C762" s="18" t="str">
        <f t="shared" si="45"/>
        <v>Friday</v>
      </c>
      <c r="D762" s="10" t="str">
        <f t="shared" si="46"/>
        <v>Same</v>
      </c>
      <c r="E762" s="2">
        <v>28.36</v>
      </c>
      <c r="F762" s="2">
        <v>7.64</v>
      </c>
      <c r="G762" s="1">
        <f t="shared" si="47"/>
        <v>0.26939351198871647</v>
      </c>
      <c r="H762" s="2">
        <v>5</v>
      </c>
      <c r="I762" s="26">
        <v>0.76180555555555562</v>
      </c>
      <c r="J762" s="26">
        <v>0.80625000000000002</v>
      </c>
      <c r="K762" s="27">
        <f>Table3[[#This Row],[Delivery Time]]-Table3[[#This Row],[Order Time]]</f>
        <v>4.4444444444444398E-2</v>
      </c>
      <c r="L762" s="43">
        <v>64</v>
      </c>
      <c r="M762" s="25" t="s">
        <v>0</v>
      </c>
      <c r="N762" s="28"/>
      <c r="O762" s="28" t="s">
        <v>39</v>
      </c>
      <c r="P762" s="25" t="s">
        <v>20</v>
      </c>
    </row>
    <row r="763" spans="1:16" x14ac:dyDescent="0.25">
      <c r="A763" s="23">
        <f t="shared" si="44"/>
        <v>762</v>
      </c>
      <c r="B763" s="24">
        <v>43182</v>
      </c>
      <c r="C763" s="18" t="str">
        <f t="shared" si="45"/>
        <v>Friday</v>
      </c>
      <c r="D763" s="10" t="str">
        <f t="shared" si="46"/>
        <v>Same</v>
      </c>
      <c r="E763" s="2">
        <v>39.130000000000003</v>
      </c>
      <c r="F763" s="2">
        <v>5</v>
      </c>
      <c r="G763" s="1">
        <f t="shared" si="47"/>
        <v>0.12777919754663941</v>
      </c>
      <c r="H763" s="2">
        <v>1.5</v>
      </c>
      <c r="I763" s="26">
        <v>0.82777777777777783</v>
      </c>
      <c r="J763" s="26">
        <v>0.85138888888888886</v>
      </c>
      <c r="K763" s="27">
        <f>Table3[[#This Row],[Delivery Time]]-Table3[[#This Row],[Order Time]]</f>
        <v>2.3611111111111027E-2</v>
      </c>
      <c r="L763" s="43">
        <v>34</v>
      </c>
      <c r="M763" s="25" t="s">
        <v>0</v>
      </c>
      <c r="N763" s="28"/>
      <c r="O763" s="28" t="s">
        <v>39</v>
      </c>
      <c r="P763" s="25" t="s">
        <v>20</v>
      </c>
    </row>
    <row r="764" spans="1:16" x14ac:dyDescent="0.25">
      <c r="A764" s="23">
        <f t="shared" si="44"/>
        <v>763</v>
      </c>
      <c r="B764" s="24">
        <v>43182</v>
      </c>
      <c r="C764" s="18" t="str">
        <f t="shared" si="45"/>
        <v>Friday</v>
      </c>
      <c r="D764" s="10" t="str">
        <f t="shared" si="46"/>
        <v>Same</v>
      </c>
      <c r="E764" s="2">
        <v>32.479999999999997</v>
      </c>
      <c r="F764" s="2">
        <v>5</v>
      </c>
      <c r="G764" s="1">
        <f t="shared" si="47"/>
        <v>0.1539408866995074</v>
      </c>
      <c r="H764" s="2">
        <v>1.5</v>
      </c>
      <c r="I764" s="26">
        <v>0.8222222222222223</v>
      </c>
      <c r="J764" s="26">
        <v>0.85763888888888884</v>
      </c>
      <c r="K764" s="27">
        <f>Table3[[#This Row],[Delivery Time]]-Table3[[#This Row],[Order Time]]</f>
        <v>3.5416666666666541E-2</v>
      </c>
      <c r="L764" s="43">
        <v>51</v>
      </c>
      <c r="M764" s="25" t="s">
        <v>0</v>
      </c>
      <c r="N764" s="28"/>
      <c r="O764" s="28" t="s">
        <v>39</v>
      </c>
      <c r="P764" s="25" t="s">
        <v>20</v>
      </c>
    </row>
    <row r="765" spans="1:16" x14ac:dyDescent="0.25">
      <c r="A765" s="23">
        <f t="shared" si="44"/>
        <v>764</v>
      </c>
      <c r="B765" s="24">
        <v>43182</v>
      </c>
      <c r="C765" s="18" t="str">
        <f t="shared" si="45"/>
        <v>Friday</v>
      </c>
      <c r="D765" s="10" t="str">
        <f t="shared" si="46"/>
        <v>Same</v>
      </c>
      <c r="E765" s="2">
        <v>28.9</v>
      </c>
      <c r="F765" s="2">
        <v>5</v>
      </c>
      <c r="G765" s="1">
        <f t="shared" si="47"/>
        <v>0.17301038062283738</v>
      </c>
      <c r="H765" s="2">
        <v>1.5</v>
      </c>
      <c r="I765" s="26">
        <v>0.83472222222222225</v>
      </c>
      <c r="J765" s="26">
        <v>0.8666666666666667</v>
      </c>
      <c r="K765" s="27">
        <f>Table3[[#This Row],[Delivery Time]]-Table3[[#This Row],[Order Time]]</f>
        <v>3.1944444444444442E-2</v>
      </c>
      <c r="L765" s="43">
        <v>46.000000000000007</v>
      </c>
      <c r="M765" s="25" t="s">
        <v>0</v>
      </c>
      <c r="N765" s="28" t="s">
        <v>26</v>
      </c>
      <c r="O765" s="28" t="s">
        <v>39</v>
      </c>
      <c r="P765" s="25" t="s">
        <v>20</v>
      </c>
    </row>
    <row r="766" spans="1:16" x14ac:dyDescent="0.25">
      <c r="A766" s="23">
        <f t="shared" si="44"/>
        <v>765</v>
      </c>
      <c r="B766" s="24">
        <v>43182</v>
      </c>
      <c r="C766" s="18" t="str">
        <f t="shared" si="45"/>
        <v>Friday</v>
      </c>
      <c r="D766" s="10" t="str">
        <f t="shared" si="46"/>
        <v>Same</v>
      </c>
      <c r="E766" s="2">
        <v>35.18</v>
      </c>
      <c r="F766" s="2">
        <v>5</v>
      </c>
      <c r="G766" s="1">
        <f t="shared" si="47"/>
        <v>0.14212620807276863</v>
      </c>
      <c r="H766" s="2">
        <v>1.5</v>
      </c>
      <c r="I766" s="26">
        <v>0.87152777777777779</v>
      </c>
      <c r="J766" s="26">
        <v>0.8930555555555556</v>
      </c>
      <c r="K766" s="27">
        <f>Table3[[#This Row],[Delivery Time]]-Table3[[#This Row],[Order Time]]</f>
        <v>2.1527777777777812E-2</v>
      </c>
      <c r="L766" s="43">
        <v>31.000000000000004</v>
      </c>
      <c r="M766" s="25" t="s">
        <v>0</v>
      </c>
      <c r="N766" s="28"/>
      <c r="O766" s="28" t="s">
        <v>39</v>
      </c>
      <c r="P766" s="25" t="s">
        <v>20</v>
      </c>
    </row>
    <row r="767" spans="1:16" x14ac:dyDescent="0.25">
      <c r="A767" s="23">
        <f t="shared" si="44"/>
        <v>766</v>
      </c>
      <c r="B767" s="24">
        <v>43182</v>
      </c>
      <c r="C767" s="18" t="str">
        <f t="shared" si="45"/>
        <v>Friday</v>
      </c>
      <c r="D767" s="10" t="str">
        <f t="shared" si="46"/>
        <v>Same</v>
      </c>
      <c r="E767" s="2">
        <v>23.76</v>
      </c>
      <c r="F767" s="2">
        <v>4.24</v>
      </c>
      <c r="G767" s="1">
        <f t="shared" si="47"/>
        <v>0.17845117845117844</v>
      </c>
      <c r="H767" s="2">
        <v>1.5</v>
      </c>
      <c r="I767" s="26">
        <v>0.87013888888888891</v>
      </c>
      <c r="J767" s="26">
        <v>0.90486111111111101</v>
      </c>
      <c r="K767" s="27">
        <f>Table3[[#This Row],[Delivery Time]]-Table3[[#This Row],[Order Time]]</f>
        <v>3.4722222222222099E-2</v>
      </c>
      <c r="L767" s="43">
        <v>50</v>
      </c>
      <c r="M767" s="25" t="s">
        <v>0</v>
      </c>
      <c r="N767" s="28"/>
      <c r="O767" s="28" t="s">
        <v>41</v>
      </c>
      <c r="P767" s="25" t="s">
        <v>20</v>
      </c>
    </row>
    <row r="768" spans="1:16" x14ac:dyDescent="0.25">
      <c r="A768" s="23">
        <f t="shared" si="44"/>
        <v>767</v>
      </c>
      <c r="B768" s="24">
        <v>43183</v>
      </c>
      <c r="C768" s="18" t="str">
        <f t="shared" si="45"/>
        <v>Saturday</v>
      </c>
      <c r="D768" s="10" t="str">
        <f t="shared" si="46"/>
        <v>Different</v>
      </c>
      <c r="E768" s="2">
        <v>38.049999999999997</v>
      </c>
      <c r="F768" s="2">
        <v>6</v>
      </c>
      <c r="G768" s="1">
        <f t="shared" si="47"/>
        <v>0.15768725361366623</v>
      </c>
      <c r="H768" s="2">
        <v>1.5</v>
      </c>
      <c r="I768" s="26">
        <v>0.68125000000000002</v>
      </c>
      <c r="J768" s="26">
        <v>0.71458333333333324</v>
      </c>
      <c r="K768" s="27">
        <f>Table3[[#This Row],[Delivery Time]]-Table3[[#This Row],[Order Time]]</f>
        <v>3.3333333333333215E-2</v>
      </c>
      <c r="L768" s="43">
        <v>48</v>
      </c>
      <c r="M768" s="25" t="s">
        <v>11</v>
      </c>
      <c r="N768" s="28"/>
      <c r="O768" s="28" t="s">
        <v>39</v>
      </c>
      <c r="P768" s="25" t="s">
        <v>20</v>
      </c>
    </row>
    <row r="769" spans="1:16" x14ac:dyDescent="0.25">
      <c r="A769" s="23">
        <f t="shared" si="44"/>
        <v>768</v>
      </c>
      <c r="B769" s="24">
        <v>43183</v>
      </c>
      <c r="C769" s="18" t="str">
        <f t="shared" si="45"/>
        <v>Saturday</v>
      </c>
      <c r="D769" s="10" t="str">
        <f t="shared" si="46"/>
        <v>Same</v>
      </c>
      <c r="E769" s="2">
        <v>87.84</v>
      </c>
      <c r="F769" s="2">
        <v>20</v>
      </c>
      <c r="G769" s="1">
        <f t="shared" si="47"/>
        <v>0.22768670309653916</v>
      </c>
      <c r="H769" s="2">
        <v>5</v>
      </c>
      <c r="I769" s="26">
        <v>0.78125</v>
      </c>
      <c r="J769" s="26">
        <v>0.78125</v>
      </c>
      <c r="K769" s="27">
        <f>Table3[[#This Row],[Delivery Time]]-Table3[[#This Row],[Order Time]]</f>
        <v>0</v>
      </c>
      <c r="L769" s="43">
        <v>0</v>
      </c>
      <c r="M769" s="25" t="s">
        <v>12</v>
      </c>
      <c r="N769" s="28"/>
      <c r="O769" s="28" t="s">
        <v>39</v>
      </c>
      <c r="P769" s="25" t="s">
        <v>16</v>
      </c>
    </row>
    <row r="770" spans="1:16" x14ac:dyDescent="0.25">
      <c r="A770" s="23">
        <f t="shared" si="44"/>
        <v>769</v>
      </c>
      <c r="B770" s="24">
        <v>43183</v>
      </c>
      <c r="C770" s="18" t="str">
        <f t="shared" si="45"/>
        <v>Saturday</v>
      </c>
      <c r="D770" s="10" t="str">
        <f t="shared" si="46"/>
        <v>Same</v>
      </c>
      <c r="E770" s="2">
        <v>62.68</v>
      </c>
      <c r="F770" s="2">
        <v>12.32</v>
      </c>
      <c r="G770" s="1">
        <f t="shared" si="47"/>
        <v>0.19655392469687302</v>
      </c>
      <c r="H770" s="2">
        <v>5</v>
      </c>
      <c r="I770" s="26">
        <v>0.74791666666666667</v>
      </c>
      <c r="J770" s="26">
        <v>0.78472222222222221</v>
      </c>
      <c r="K770" s="27">
        <f>Table3[[#This Row],[Delivery Time]]-Table3[[#This Row],[Order Time]]</f>
        <v>3.6805555555555536E-2</v>
      </c>
      <c r="L770" s="43">
        <v>53</v>
      </c>
      <c r="M770" s="25" t="s">
        <v>0</v>
      </c>
      <c r="N770" s="28"/>
      <c r="O770" s="28" t="s">
        <v>39</v>
      </c>
      <c r="P770" s="25" t="s">
        <v>20</v>
      </c>
    </row>
    <row r="771" spans="1:16" x14ac:dyDescent="0.25">
      <c r="A771" s="23">
        <f t="shared" si="44"/>
        <v>770</v>
      </c>
      <c r="B771" s="24">
        <v>43183</v>
      </c>
      <c r="C771" s="18" t="str">
        <f t="shared" si="45"/>
        <v>Saturday</v>
      </c>
      <c r="D771" s="10" t="str">
        <f t="shared" si="46"/>
        <v>Same</v>
      </c>
      <c r="E771" s="2">
        <v>5.41</v>
      </c>
      <c r="F771" s="2">
        <v>19.59</v>
      </c>
      <c r="G771" s="1">
        <f t="shared" si="47"/>
        <v>3.621072088724584</v>
      </c>
      <c r="H771" s="2">
        <v>5</v>
      </c>
      <c r="I771" s="26">
        <v>0.75</v>
      </c>
      <c r="J771" s="26">
        <v>0.79166666666666663</v>
      </c>
      <c r="K771" s="27">
        <f>Table3[[#This Row],[Delivery Time]]-Table3[[#This Row],[Order Time]]</f>
        <v>4.166666666666663E-2</v>
      </c>
      <c r="L771" s="43">
        <v>60</v>
      </c>
      <c r="M771" s="25" t="s">
        <v>0</v>
      </c>
      <c r="N771" s="28"/>
      <c r="O771" s="28" t="s">
        <v>39</v>
      </c>
      <c r="P771" s="25" t="s">
        <v>20</v>
      </c>
    </row>
    <row r="772" spans="1:16" x14ac:dyDescent="0.25">
      <c r="A772" s="23">
        <f t="shared" si="44"/>
        <v>771</v>
      </c>
      <c r="B772" s="24">
        <v>43183</v>
      </c>
      <c r="C772" s="18" t="str">
        <f t="shared" si="45"/>
        <v>Saturday</v>
      </c>
      <c r="D772" s="10" t="str">
        <f t="shared" si="46"/>
        <v>Same</v>
      </c>
      <c r="E772" s="2">
        <v>32.369999999999997</v>
      </c>
      <c r="F772" s="2">
        <v>5</v>
      </c>
      <c r="G772" s="1">
        <f t="shared" si="47"/>
        <v>0.15446400988569664</v>
      </c>
      <c r="H772" s="2">
        <v>1.5</v>
      </c>
      <c r="I772" s="26">
        <v>0.79722222222222217</v>
      </c>
      <c r="J772" s="26">
        <v>0.82777777777777783</v>
      </c>
      <c r="K772" s="27">
        <f>Table3[[#This Row],[Delivery Time]]-Table3[[#This Row],[Order Time]]</f>
        <v>3.0555555555555669E-2</v>
      </c>
      <c r="L772" s="43">
        <v>44</v>
      </c>
      <c r="M772" s="25" t="s">
        <v>11</v>
      </c>
      <c r="N772" s="28"/>
      <c r="O772" s="28" t="s">
        <v>40</v>
      </c>
      <c r="P772" s="25" t="s">
        <v>20</v>
      </c>
    </row>
    <row r="773" spans="1:16" x14ac:dyDescent="0.25">
      <c r="A773" s="23">
        <f t="shared" si="44"/>
        <v>772</v>
      </c>
      <c r="B773" s="24">
        <v>43183</v>
      </c>
      <c r="C773" s="18" t="str">
        <f t="shared" si="45"/>
        <v>Saturday</v>
      </c>
      <c r="D773" s="10" t="str">
        <f t="shared" si="46"/>
        <v>Same</v>
      </c>
      <c r="E773" s="2">
        <v>23.82</v>
      </c>
      <c r="F773" s="2">
        <v>6</v>
      </c>
      <c r="G773" s="1">
        <f t="shared" si="47"/>
        <v>0.25188916876574308</v>
      </c>
      <c r="H773" s="2">
        <v>5</v>
      </c>
      <c r="I773" s="26">
        <v>0.80833333333333324</v>
      </c>
      <c r="J773" s="26">
        <v>0.8534722222222223</v>
      </c>
      <c r="K773" s="27">
        <f>Table3[[#This Row],[Delivery Time]]-Table3[[#This Row],[Order Time]]</f>
        <v>4.5138888888889062E-2</v>
      </c>
      <c r="L773" s="43">
        <v>65</v>
      </c>
      <c r="M773" s="25" t="s">
        <v>11</v>
      </c>
      <c r="N773" s="28"/>
      <c r="O773" s="28" t="s">
        <v>41</v>
      </c>
      <c r="P773" s="25" t="s">
        <v>20</v>
      </c>
    </row>
    <row r="774" spans="1:16" x14ac:dyDescent="0.25">
      <c r="A774" s="23">
        <f t="shared" ref="A774:A789" si="48">ROW(A773)</f>
        <v>773</v>
      </c>
      <c r="B774" s="24">
        <v>43183</v>
      </c>
      <c r="C774" s="18" t="str">
        <f t="shared" ref="C774:C837" si="49">TEXT(B774,"dddd")</f>
        <v>Saturday</v>
      </c>
      <c r="D774" s="10" t="str">
        <f t="shared" ref="D774:D837" si="50">IF(B773=B774, "Same", "Different")</f>
        <v>Same</v>
      </c>
      <c r="E774" s="2">
        <v>27.6</v>
      </c>
      <c r="F774" s="2">
        <v>10</v>
      </c>
      <c r="G774" s="1">
        <f t="shared" ref="G774:G837" si="51">F774/E774</f>
        <v>0.36231884057971014</v>
      </c>
      <c r="H774" s="2">
        <v>1.5</v>
      </c>
      <c r="I774" s="26">
        <v>0.85486111111111107</v>
      </c>
      <c r="J774" s="26">
        <v>0.88680555555555562</v>
      </c>
      <c r="K774" s="27">
        <f>Table3[[#This Row],[Delivery Time]]-Table3[[#This Row],[Order Time]]</f>
        <v>3.1944444444444553E-2</v>
      </c>
      <c r="L774" s="43">
        <v>46.000000000000007</v>
      </c>
      <c r="M774" s="25" t="s">
        <v>0</v>
      </c>
      <c r="N774" s="28"/>
      <c r="O774" s="28" t="s">
        <v>40</v>
      </c>
      <c r="P774" s="25" t="s">
        <v>20</v>
      </c>
    </row>
    <row r="775" spans="1:16" x14ac:dyDescent="0.25">
      <c r="A775" s="23">
        <f t="shared" si="48"/>
        <v>774</v>
      </c>
      <c r="B775" s="24">
        <v>43183</v>
      </c>
      <c r="C775" s="18" t="str">
        <f t="shared" si="49"/>
        <v>Saturday</v>
      </c>
      <c r="D775" s="10" t="str">
        <f t="shared" si="50"/>
        <v>Same</v>
      </c>
      <c r="E775" s="2">
        <v>24.84</v>
      </c>
      <c r="F775" s="2">
        <v>4</v>
      </c>
      <c r="G775" s="1">
        <f t="shared" si="51"/>
        <v>0.1610305958132045</v>
      </c>
      <c r="H775" s="2">
        <v>1.5</v>
      </c>
      <c r="I775" s="26">
        <v>0.86736111111111114</v>
      </c>
      <c r="J775" s="26">
        <v>0.89513888888888893</v>
      </c>
      <c r="K775" s="27">
        <f>Table3[[#This Row],[Delivery Time]]-Table3[[#This Row],[Order Time]]</f>
        <v>2.777777777777779E-2</v>
      </c>
      <c r="L775" s="43">
        <v>40</v>
      </c>
      <c r="M775" s="25" t="s">
        <v>0</v>
      </c>
      <c r="N775" s="28"/>
      <c r="O775" s="28" t="s">
        <v>40</v>
      </c>
      <c r="P775" s="25" t="s">
        <v>20</v>
      </c>
    </row>
    <row r="776" spans="1:16" x14ac:dyDescent="0.25">
      <c r="A776" s="23">
        <f t="shared" si="48"/>
        <v>775</v>
      </c>
      <c r="B776" s="24">
        <v>43184</v>
      </c>
      <c r="C776" s="18" t="str">
        <f t="shared" si="49"/>
        <v>Sunday</v>
      </c>
      <c r="D776" s="10" t="str">
        <f t="shared" si="50"/>
        <v>Different</v>
      </c>
      <c r="E776" s="2">
        <v>33.229999999999997</v>
      </c>
      <c r="F776" s="2">
        <v>6</v>
      </c>
      <c r="G776" s="1">
        <f t="shared" si="51"/>
        <v>0.18055973517905508</v>
      </c>
      <c r="H776" s="2">
        <v>1.5</v>
      </c>
      <c r="I776" s="26">
        <v>0.70208333333333339</v>
      </c>
      <c r="J776" s="26">
        <v>0.72361111111111109</v>
      </c>
      <c r="K776" s="27">
        <f>Table3[[#This Row],[Delivery Time]]-Table3[[#This Row],[Order Time]]</f>
        <v>2.1527777777777701E-2</v>
      </c>
      <c r="L776" s="43">
        <v>31.000000000000004</v>
      </c>
      <c r="M776" s="25" t="s">
        <v>0</v>
      </c>
      <c r="N776" s="28"/>
      <c r="O776" s="28" t="s">
        <v>39</v>
      </c>
      <c r="P776" s="25" t="s">
        <v>20</v>
      </c>
    </row>
    <row r="777" spans="1:16" x14ac:dyDescent="0.25">
      <c r="A777" s="23">
        <f t="shared" si="48"/>
        <v>776</v>
      </c>
      <c r="B777" s="24">
        <v>43184</v>
      </c>
      <c r="C777" s="18" t="str">
        <f t="shared" si="49"/>
        <v>Sunday</v>
      </c>
      <c r="D777" s="10" t="str">
        <f t="shared" si="50"/>
        <v>Same</v>
      </c>
      <c r="E777" s="2">
        <v>36.75</v>
      </c>
      <c r="F777" s="2">
        <v>8</v>
      </c>
      <c r="G777" s="1">
        <f t="shared" si="51"/>
        <v>0.21768707482993196</v>
      </c>
      <c r="H777" s="2">
        <v>5</v>
      </c>
      <c r="I777" s="26">
        <v>0.73541666666666661</v>
      </c>
      <c r="J777" s="26">
        <v>0.7631944444444444</v>
      </c>
      <c r="K777" s="27">
        <f>Table3[[#This Row],[Delivery Time]]-Table3[[#This Row],[Order Time]]</f>
        <v>2.777777777777779E-2</v>
      </c>
      <c r="L777" s="43">
        <v>40</v>
      </c>
      <c r="M777" s="25" t="s">
        <v>0</v>
      </c>
      <c r="N777" s="28"/>
      <c r="O777" s="28" t="s">
        <v>39</v>
      </c>
      <c r="P777" s="25" t="s">
        <v>20</v>
      </c>
    </row>
    <row r="778" spans="1:16" x14ac:dyDescent="0.25">
      <c r="A778" s="23">
        <f t="shared" si="48"/>
        <v>777</v>
      </c>
      <c r="B778" s="24">
        <v>43184</v>
      </c>
      <c r="C778" s="18" t="str">
        <f t="shared" si="49"/>
        <v>Sunday</v>
      </c>
      <c r="D778" s="10" t="str">
        <f t="shared" si="50"/>
        <v>Same</v>
      </c>
      <c r="E778" s="2">
        <v>102.78</v>
      </c>
      <c r="F778" s="2">
        <v>20</v>
      </c>
      <c r="G778" s="1">
        <f t="shared" si="51"/>
        <v>0.1945903872348706</v>
      </c>
      <c r="H778" s="2">
        <v>1.5</v>
      </c>
      <c r="I778" s="26">
        <v>0.78194444444444444</v>
      </c>
      <c r="J778" s="26">
        <v>0.7993055555555556</v>
      </c>
      <c r="K778" s="27">
        <f>Table3[[#This Row],[Delivery Time]]-Table3[[#This Row],[Order Time]]</f>
        <v>1.736111111111116E-2</v>
      </c>
      <c r="L778" s="43">
        <v>25</v>
      </c>
      <c r="M778" s="25" t="s">
        <v>0</v>
      </c>
      <c r="N778" s="28"/>
      <c r="O778" s="28" t="s">
        <v>39</v>
      </c>
      <c r="P778" s="25" t="s">
        <v>20</v>
      </c>
    </row>
    <row r="779" spans="1:16" x14ac:dyDescent="0.25">
      <c r="A779" s="23">
        <f t="shared" si="48"/>
        <v>778</v>
      </c>
      <c r="B779" s="24">
        <v>43184</v>
      </c>
      <c r="C779" s="18" t="str">
        <f t="shared" si="49"/>
        <v>Sunday</v>
      </c>
      <c r="D779" s="10" t="str">
        <f t="shared" si="50"/>
        <v>Same</v>
      </c>
      <c r="E779" s="2">
        <v>36.21</v>
      </c>
      <c r="F779" s="2">
        <v>6</v>
      </c>
      <c r="G779" s="1">
        <f t="shared" si="51"/>
        <v>0.16570008285004142</v>
      </c>
      <c r="H779" s="2">
        <v>1.5</v>
      </c>
      <c r="I779" s="26">
        <v>0.77569444444444446</v>
      </c>
      <c r="J779" s="26">
        <v>0.80625000000000002</v>
      </c>
      <c r="K779" s="27">
        <f>Table3[[#This Row],[Delivery Time]]-Table3[[#This Row],[Order Time]]</f>
        <v>3.0555555555555558E-2</v>
      </c>
      <c r="L779" s="43">
        <v>44</v>
      </c>
      <c r="M779" s="25" t="s">
        <v>0</v>
      </c>
      <c r="N779" s="28"/>
      <c r="O779" s="28" t="s">
        <v>39</v>
      </c>
      <c r="P779" s="25" t="s">
        <v>20</v>
      </c>
    </row>
    <row r="780" spans="1:16" x14ac:dyDescent="0.25">
      <c r="A780" s="23">
        <f t="shared" si="48"/>
        <v>779</v>
      </c>
      <c r="B780" s="24">
        <v>43189</v>
      </c>
      <c r="C780" s="18" t="str">
        <f t="shared" si="49"/>
        <v>Friday</v>
      </c>
      <c r="D780" s="10" t="str">
        <f t="shared" si="50"/>
        <v>Different</v>
      </c>
      <c r="E780" s="2">
        <v>35.130000000000003</v>
      </c>
      <c r="F780" s="2">
        <v>5</v>
      </c>
      <c r="G780" s="1">
        <f t="shared" si="51"/>
        <v>0.14232849416453172</v>
      </c>
      <c r="H780" s="2">
        <v>5</v>
      </c>
      <c r="I780" s="26">
        <v>0.7090277777777777</v>
      </c>
      <c r="J780" s="26">
        <v>0.7284722222222223</v>
      </c>
      <c r="K780" s="27">
        <f>Table3[[#This Row],[Delivery Time]]-Table3[[#This Row],[Order Time]]</f>
        <v>1.9444444444444597E-2</v>
      </c>
      <c r="L780" s="43">
        <v>28</v>
      </c>
      <c r="M780" s="25" t="s">
        <v>11</v>
      </c>
      <c r="N780" s="28"/>
      <c r="O780" s="28" t="s">
        <v>39</v>
      </c>
      <c r="P780" s="25" t="s">
        <v>20</v>
      </c>
    </row>
    <row r="781" spans="1:16" x14ac:dyDescent="0.25">
      <c r="A781" s="23">
        <f t="shared" si="48"/>
        <v>780</v>
      </c>
      <c r="B781" s="24">
        <v>43189</v>
      </c>
      <c r="C781" s="18" t="str">
        <f t="shared" si="49"/>
        <v>Friday</v>
      </c>
      <c r="D781" s="10" t="str">
        <f t="shared" si="50"/>
        <v>Same</v>
      </c>
      <c r="E781" s="2">
        <v>97.97</v>
      </c>
      <c r="F781" s="2">
        <v>10</v>
      </c>
      <c r="G781" s="1">
        <f t="shared" si="51"/>
        <v>0.10207206287639073</v>
      </c>
      <c r="H781" s="2">
        <v>1.5</v>
      </c>
      <c r="I781" s="26">
        <v>0.79166666666666663</v>
      </c>
      <c r="J781" s="26">
        <v>0.79166666666666663</v>
      </c>
      <c r="K781" s="27">
        <f>Table3[[#This Row],[Delivery Time]]-Table3[[#This Row],[Order Time]]</f>
        <v>0</v>
      </c>
      <c r="L781" s="43">
        <v>0</v>
      </c>
      <c r="M781" s="25" t="s">
        <v>11</v>
      </c>
      <c r="N781" s="28"/>
      <c r="O781" s="28" t="s">
        <v>39</v>
      </c>
      <c r="P781" s="25" t="s">
        <v>16</v>
      </c>
    </row>
    <row r="782" spans="1:16" x14ac:dyDescent="0.25">
      <c r="A782" s="23">
        <f t="shared" si="48"/>
        <v>781</v>
      </c>
      <c r="B782" s="24">
        <v>43189</v>
      </c>
      <c r="C782" s="18" t="str">
        <f t="shared" si="49"/>
        <v>Friday</v>
      </c>
      <c r="D782" s="10" t="str">
        <f t="shared" si="50"/>
        <v>Same</v>
      </c>
      <c r="E782" s="2">
        <v>29.23</v>
      </c>
      <c r="F782" s="2">
        <v>5</v>
      </c>
      <c r="G782" s="1">
        <f t="shared" si="51"/>
        <v>0.17105713308244955</v>
      </c>
      <c r="H782" s="2">
        <v>1.5</v>
      </c>
      <c r="I782" s="26">
        <v>0.76944444444444438</v>
      </c>
      <c r="J782" s="26">
        <v>0.80138888888888893</v>
      </c>
      <c r="K782" s="27">
        <f>Table3[[#This Row],[Delivery Time]]-Table3[[#This Row],[Order Time]]</f>
        <v>3.1944444444444553E-2</v>
      </c>
      <c r="L782" s="43">
        <v>46.000000000000007</v>
      </c>
      <c r="M782" s="25" t="s">
        <v>11</v>
      </c>
      <c r="N782" s="28"/>
      <c r="O782" s="28" t="s">
        <v>41</v>
      </c>
      <c r="P782" s="25" t="s">
        <v>20</v>
      </c>
    </row>
    <row r="783" spans="1:16" x14ac:dyDescent="0.25">
      <c r="A783" s="23">
        <f t="shared" si="48"/>
        <v>782</v>
      </c>
      <c r="B783" s="24">
        <v>43189</v>
      </c>
      <c r="C783" s="18" t="str">
        <f t="shared" si="49"/>
        <v>Friday</v>
      </c>
      <c r="D783" s="10" t="str">
        <f t="shared" si="50"/>
        <v>Same</v>
      </c>
      <c r="E783" s="2">
        <v>82.7</v>
      </c>
      <c r="F783" s="2">
        <v>10</v>
      </c>
      <c r="G783" s="1">
        <f t="shared" si="51"/>
        <v>0.12091898428053204</v>
      </c>
      <c r="H783" s="2">
        <v>1.5</v>
      </c>
      <c r="I783" s="26">
        <v>0.82777777777777783</v>
      </c>
      <c r="J783" s="26">
        <v>0.84930555555555554</v>
      </c>
      <c r="K783" s="27">
        <f>Table3[[#This Row],[Delivery Time]]-Table3[[#This Row],[Order Time]]</f>
        <v>2.1527777777777701E-2</v>
      </c>
      <c r="L783" s="43">
        <v>31.000000000000004</v>
      </c>
      <c r="M783" s="25" t="s">
        <v>11</v>
      </c>
      <c r="N783" s="28"/>
      <c r="O783" s="28" t="s">
        <v>39</v>
      </c>
      <c r="P783" s="25" t="s">
        <v>20</v>
      </c>
    </row>
    <row r="784" spans="1:16" x14ac:dyDescent="0.25">
      <c r="A784" s="23">
        <f t="shared" si="48"/>
        <v>783</v>
      </c>
      <c r="B784" s="24">
        <v>43189</v>
      </c>
      <c r="C784" s="18" t="str">
        <f t="shared" si="49"/>
        <v>Friday</v>
      </c>
      <c r="D784" s="10" t="str">
        <f t="shared" si="50"/>
        <v>Same</v>
      </c>
      <c r="E784" s="2">
        <v>153.55000000000001</v>
      </c>
      <c r="F784" s="2">
        <v>20</v>
      </c>
      <c r="G784" s="1">
        <f t="shared" si="51"/>
        <v>0.13025073266037121</v>
      </c>
      <c r="H784" s="2">
        <v>1.5</v>
      </c>
      <c r="I784" s="26">
        <v>0.81597222222222221</v>
      </c>
      <c r="J784" s="26">
        <v>0.85416666666666663</v>
      </c>
      <c r="K784" s="27">
        <f>Table3[[#This Row],[Delivery Time]]-Table3[[#This Row],[Order Time]]</f>
        <v>3.819444444444442E-2</v>
      </c>
      <c r="L784" s="43">
        <v>54.999999999999993</v>
      </c>
      <c r="M784" s="25" t="s">
        <v>11</v>
      </c>
      <c r="N784" s="28"/>
      <c r="O784" s="28" t="s">
        <v>39</v>
      </c>
      <c r="P784" s="25" t="s">
        <v>20</v>
      </c>
    </row>
    <row r="785" spans="1:16" x14ac:dyDescent="0.25">
      <c r="A785" s="23">
        <f t="shared" si="48"/>
        <v>784</v>
      </c>
      <c r="B785" s="24">
        <v>43189</v>
      </c>
      <c r="C785" s="18" t="str">
        <f t="shared" si="49"/>
        <v>Friday</v>
      </c>
      <c r="D785" s="10" t="str">
        <f t="shared" si="50"/>
        <v>Same</v>
      </c>
      <c r="E785" s="2">
        <v>29.39</v>
      </c>
      <c r="F785" s="2">
        <v>5</v>
      </c>
      <c r="G785" s="1">
        <f t="shared" si="51"/>
        <v>0.1701258931609391</v>
      </c>
      <c r="H785" s="2">
        <v>1.5</v>
      </c>
      <c r="I785" s="26">
        <v>0.84097222222222223</v>
      </c>
      <c r="J785" s="26">
        <v>0.87916666666666676</v>
      </c>
      <c r="K785" s="27">
        <f>Table3[[#This Row],[Delivery Time]]-Table3[[#This Row],[Order Time]]</f>
        <v>3.8194444444444531E-2</v>
      </c>
      <c r="L785" s="43">
        <v>54.999999999999993</v>
      </c>
      <c r="M785" s="25" t="s">
        <v>0</v>
      </c>
      <c r="N785" s="28"/>
      <c r="O785" s="28" t="s">
        <v>39</v>
      </c>
      <c r="P785" s="25" t="s">
        <v>20</v>
      </c>
    </row>
    <row r="786" spans="1:16" x14ac:dyDescent="0.25">
      <c r="A786" s="23">
        <f t="shared" si="48"/>
        <v>785</v>
      </c>
      <c r="B786" s="24">
        <v>43189</v>
      </c>
      <c r="C786" s="18" t="str">
        <f t="shared" si="49"/>
        <v>Friday</v>
      </c>
      <c r="D786" s="10" t="str">
        <f t="shared" si="50"/>
        <v>Same</v>
      </c>
      <c r="E786" s="2">
        <v>35.72</v>
      </c>
      <c r="F786" s="2">
        <v>3.28</v>
      </c>
      <c r="G786" s="1">
        <f t="shared" si="51"/>
        <v>9.182530795072788E-2</v>
      </c>
      <c r="H786" s="2">
        <v>1.5</v>
      </c>
      <c r="I786" s="26">
        <v>0.85902777777777783</v>
      </c>
      <c r="J786" s="26">
        <v>0.8881944444444444</v>
      </c>
      <c r="K786" s="27">
        <f>Table3[[#This Row],[Delivery Time]]-Table3[[#This Row],[Order Time]]</f>
        <v>2.9166666666666563E-2</v>
      </c>
      <c r="L786" s="43">
        <v>42</v>
      </c>
      <c r="M786" s="25" t="s">
        <v>0</v>
      </c>
      <c r="N786" s="28"/>
      <c r="O786" s="28" t="s">
        <v>39</v>
      </c>
      <c r="P786" s="25" t="s">
        <v>20</v>
      </c>
    </row>
    <row r="787" spans="1:16" x14ac:dyDescent="0.25">
      <c r="A787" s="23">
        <f t="shared" si="48"/>
        <v>786</v>
      </c>
      <c r="B787" s="24">
        <v>43190</v>
      </c>
      <c r="C787" s="18" t="str">
        <f t="shared" si="49"/>
        <v>Saturday</v>
      </c>
      <c r="D787" s="10" t="str">
        <f t="shared" si="50"/>
        <v>Different</v>
      </c>
      <c r="E787" s="2">
        <v>22.41</v>
      </c>
      <c r="F787" s="2">
        <v>2</v>
      </c>
      <c r="G787" s="1">
        <f t="shared" si="51"/>
        <v>8.9245872378402494E-2</v>
      </c>
      <c r="H787" s="2">
        <v>1.5</v>
      </c>
      <c r="I787" s="26">
        <v>0.73749999999999993</v>
      </c>
      <c r="J787" s="26">
        <v>0.76180555555555562</v>
      </c>
      <c r="K787" s="27">
        <f>Table3[[#This Row],[Delivery Time]]-Table3[[#This Row],[Order Time]]</f>
        <v>2.4305555555555691E-2</v>
      </c>
      <c r="L787" s="43">
        <v>35</v>
      </c>
      <c r="M787" s="25" t="s">
        <v>11</v>
      </c>
      <c r="N787" s="28"/>
      <c r="O787" s="28" t="s">
        <v>39</v>
      </c>
      <c r="P787" s="25" t="s">
        <v>20</v>
      </c>
    </row>
    <row r="788" spans="1:16" x14ac:dyDescent="0.25">
      <c r="A788" s="23">
        <f t="shared" si="48"/>
        <v>787</v>
      </c>
      <c r="B788" s="24">
        <v>43190</v>
      </c>
      <c r="C788" s="18" t="str">
        <f t="shared" si="49"/>
        <v>Saturday</v>
      </c>
      <c r="D788" s="10" t="str">
        <f t="shared" si="50"/>
        <v>Same</v>
      </c>
      <c r="E788" s="2">
        <v>85.46</v>
      </c>
      <c r="F788" s="2">
        <v>17</v>
      </c>
      <c r="G788" s="1">
        <f t="shared" si="51"/>
        <v>0.19892347296981044</v>
      </c>
      <c r="H788" s="2">
        <v>7</v>
      </c>
      <c r="I788" s="26">
        <v>0.78125</v>
      </c>
      <c r="J788" s="26">
        <v>0.78125</v>
      </c>
      <c r="K788" s="27">
        <f>Table3[[#This Row],[Delivery Time]]-Table3[[#This Row],[Order Time]]</f>
        <v>0</v>
      </c>
      <c r="L788" s="43">
        <v>0</v>
      </c>
      <c r="M788" s="25" t="s">
        <v>12</v>
      </c>
      <c r="N788" s="28"/>
      <c r="O788" s="28" t="s">
        <v>39</v>
      </c>
      <c r="P788" s="25" t="s">
        <v>16</v>
      </c>
    </row>
    <row r="789" spans="1:16" x14ac:dyDescent="0.25">
      <c r="A789" s="23">
        <f t="shared" si="48"/>
        <v>788</v>
      </c>
      <c r="B789" s="24">
        <v>43190</v>
      </c>
      <c r="C789" s="18" t="str">
        <f t="shared" si="49"/>
        <v>Saturday</v>
      </c>
      <c r="D789" s="10" t="str">
        <f t="shared" si="50"/>
        <v>Same</v>
      </c>
      <c r="E789" s="2">
        <v>25.66</v>
      </c>
      <c r="F789" s="2">
        <v>6</v>
      </c>
      <c r="G789" s="1">
        <f t="shared" si="51"/>
        <v>0.23382696804364769</v>
      </c>
      <c r="H789" s="2">
        <v>1.5</v>
      </c>
      <c r="I789" s="26">
        <v>0.80069444444444438</v>
      </c>
      <c r="J789" s="26">
        <v>0.82291666666666663</v>
      </c>
      <c r="K789" s="27">
        <f>Table3[[#This Row],[Delivery Time]]-Table3[[#This Row],[Order Time]]</f>
        <v>2.2222222222222254E-2</v>
      </c>
      <c r="L789" s="43">
        <v>32</v>
      </c>
      <c r="M789" s="25" t="s">
        <v>11</v>
      </c>
      <c r="N789" s="28"/>
      <c r="O789" s="28" t="s">
        <v>39</v>
      </c>
      <c r="P789" s="25" t="s">
        <v>20</v>
      </c>
    </row>
    <row r="790" spans="1:16" x14ac:dyDescent="0.25">
      <c r="A790" s="23">
        <f>ROW(A789)</f>
        <v>789</v>
      </c>
      <c r="B790" s="24">
        <v>43191</v>
      </c>
      <c r="C790" s="18" t="str">
        <f t="shared" si="49"/>
        <v>Sunday</v>
      </c>
      <c r="D790" s="10" t="str">
        <f t="shared" si="50"/>
        <v>Different</v>
      </c>
      <c r="E790" s="2">
        <v>35.130000000000003</v>
      </c>
      <c r="F790" s="2">
        <v>5</v>
      </c>
      <c r="G790" s="1">
        <f t="shared" si="51"/>
        <v>0.14232849416453172</v>
      </c>
      <c r="H790" s="2">
        <v>5</v>
      </c>
      <c r="I790" s="26">
        <v>0.7270833333333333</v>
      </c>
      <c r="J790" s="26">
        <v>0.75277777777777777</v>
      </c>
      <c r="K790" s="27">
        <f>Table3[[#This Row],[Delivery Time]]-Table3[[#This Row],[Order Time]]</f>
        <v>2.5694444444444464E-2</v>
      </c>
      <c r="L790" s="43">
        <v>37</v>
      </c>
      <c r="M790" s="25" t="s">
        <v>1</v>
      </c>
      <c r="N790" s="28"/>
      <c r="O790" s="28" t="s">
        <v>39</v>
      </c>
      <c r="P790" s="25" t="s">
        <v>20</v>
      </c>
    </row>
    <row r="791" spans="1:16" x14ac:dyDescent="0.25">
      <c r="A791" s="23">
        <f>ROW(A790)</f>
        <v>790</v>
      </c>
      <c r="B791" s="24">
        <v>43191</v>
      </c>
      <c r="C791" s="18" t="str">
        <f t="shared" si="49"/>
        <v>Sunday</v>
      </c>
      <c r="D791" s="10" t="str">
        <f t="shared" si="50"/>
        <v>Same</v>
      </c>
      <c r="E791" s="2">
        <v>55.42</v>
      </c>
      <c r="F791" s="2">
        <v>9.58</v>
      </c>
      <c r="G791" s="1">
        <f t="shared" si="51"/>
        <v>0.17286178274990976</v>
      </c>
      <c r="H791" s="2">
        <v>1.5</v>
      </c>
      <c r="I791" s="26">
        <v>0.76250000000000007</v>
      </c>
      <c r="J791" s="26">
        <v>0.78402777777777777</v>
      </c>
      <c r="K791" s="27">
        <f>Table3[[#This Row],[Delivery Time]]-Table3[[#This Row],[Order Time]]</f>
        <v>2.1527777777777701E-2</v>
      </c>
      <c r="L791" s="43">
        <v>31.000000000000004</v>
      </c>
      <c r="M791" s="25" t="s">
        <v>11</v>
      </c>
      <c r="N791" s="28"/>
      <c r="O791" s="28" t="s">
        <v>39</v>
      </c>
      <c r="P791" s="25" t="s">
        <v>20</v>
      </c>
    </row>
    <row r="792" spans="1:16" x14ac:dyDescent="0.25">
      <c r="A792" s="23">
        <f t="shared" ref="A792:A855" si="52">ROW(A791)</f>
        <v>791</v>
      </c>
      <c r="B792" s="24">
        <v>43191</v>
      </c>
      <c r="C792" s="18" t="str">
        <f t="shared" si="49"/>
        <v>Sunday</v>
      </c>
      <c r="D792" s="10" t="str">
        <f t="shared" si="50"/>
        <v>Same</v>
      </c>
      <c r="E792" s="2">
        <v>23.82</v>
      </c>
      <c r="F792" s="2">
        <v>7</v>
      </c>
      <c r="G792" s="1">
        <f t="shared" si="51"/>
        <v>0.29387069689336692</v>
      </c>
      <c r="H792" s="2">
        <v>1.5</v>
      </c>
      <c r="I792" s="26">
        <v>0.80208333333333337</v>
      </c>
      <c r="J792" s="26">
        <v>0.8256944444444444</v>
      </c>
      <c r="K792" s="27">
        <f>Table3[[#This Row],[Delivery Time]]-Table3[[#This Row],[Order Time]]</f>
        <v>2.3611111111111027E-2</v>
      </c>
      <c r="L792" s="43">
        <v>34</v>
      </c>
      <c r="M792" s="25" t="s">
        <v>0</v>
      </c>
      <c r="N792" s="28"/>
      <c r="O792" s="28" t="s">
        <v>39</v>
      </c>
      <c r="P792" s="25" t="s">
        <v>20</v>
      </c>
    </row>
    <row r="793" spans="1:16" x14ac:dyDescent="0.25">
      <c r="A793" s="23">
        <f t="shared" si="52"/>
        <v>792</v>
      </c>
      <c r="B793" s="24">
        <v>43191</v>
      </c>
      <c r="C793" s="18" t="str">
        <f t="shared" si="49"/>
        <v>Sunday</v>
      </c>
      <c r="D793" s="10" t="str">
        <f t="shared" si="50"/>
        <v>Same</v>
      </c>
      <c r="E793" s="2">
        <v>42.76</v>
      </c>
      <c r="F793" s="2">
        <v>7</v>
      </c>
      <c r="G793" s="1">
        <f t="shared" si="51"/>
        <v>0.16370439663236672</v>
      </c>
      <c r="H793" s="2">
        <v>1.5</v>
      </c>
      <c r="I793" s="26">
        <v>0.80625000000000002</v>
      </c>
      <c r="J793" s="26">
        <v>0.83611111111111114</v>
      </c>
      <c r="K793" s="27">
        <f>Table3[[#This Row],[Delivery Time]]-Table3[[#This Row],[Order Time]]</f>
        <v>2.9861111111111116E-2</v>
      </c>
      <c r="L793" s="43">
        <v>43</v>
      </c>
      <c r="M793" s="25" t="s">
        <v>12</v>
      </c>
      <c r="N793" s="28"/>
      <c r="O793" s="28" t="s">
        <v>39</v>
      </c>
      <c r="P793" s="25" t="s">
        <v>20</v>
      </c>
    </row>
    <row r="794" spans="1:16" x14ac:dyDescent="0.25">
      <c r="A794" s="23">
        <f t="shared" si="52"/>
        <v>793</v>
      </c>
      <c r="B794" s="24">
        <v>43191</v>
      </c>
      <c r="C794" s="18" t="str">
        <f t="shared" si="49"/>
        <v>Sunday</v>
      </c>
      <c r="D794" s="10" t="str">
        <f t="shared" si="50"/>
        <v>Same</v>
      </c>
      <c r="E794" s="2">
        <v>41.57</v>
      </c>
      <c r="F794" s="2">
        <v>2.4300000000000002</v>
      </c>
      <c r="G794" s="1">
        <f t="shared" si="51"/>
        <v>5.8455617031513113E-2</v>
      </c>
      <c r="H794" s="2">
        <v>1.5</v>
      </c>
      <c r="I794" s="26">
        <v>0.80555555555555547</v>
      </c>
      <c r="J794" s="26">
        <v>0.84375</v>
      </c>
      <c r="K794" s="27">
        <f>Table3[[#This Row],[Delivery Time]]-Table3[[#This Row],[Order Time]]</f>
        <v>3.8194444444444531E-2</v>
      </c>
      <c r="L794" s="43">
        <v>54.999999999999993</v>
      </c>
      <c r="M794" s="25" t="s">
        <v>0</v>
      </c>
      <c r="N794" s="28"/>
      <c r="O794" s="28" t="s">
        <v>41</v>
      </c>
      <c r="P794" s="25" t="s">
        <v>20</v>
      </c>
    </row>
    <row r="795" spans="1:16" x14ac:dyDescent="0.25">
      <c r="A795" s="23">
        <f t="shared" si="52"/>
        <v>794</v>
      </c>
      <c r="B795" s="24">
        <v>43197</v>
      </c>
      <c r="C795" s="18" t="str">
        <f t="shared" si="49"/>
        <v>Saturday</v>
      </c>
      <c r="D795" s="10" t="str">
        <f t="shared" si="50"/>
        <v>Different</v>
      </c>
      <c r="E795" s="2">
        <v>22.14</v>
      </c>
      <c r="F795" s="2">
        <v>4.8600000000000003</v>
      </c>
      <c r="G795" s="1">
        <f t="shared" si="51"/>
        <v>0.21951219512195122</v>
      </c>
      <c r="H795" s="2">
        <v>5</v>
      </c>
      <c r="I795" s="26">
        <v>0.7270833333333333</v>
      </c>
      <c r="J795" s="26">
        <v>0.76527777777777783</v>
      </c>
      <c r="K795" s="27">
        <f>Table3[[#This Row],[Delivery Time]]-Table3[[#This Row],[Order Time]]</f>
        <v>3.8194444444444531E-2</v>
      </c>
      <c r="L795" s="43">
        <v>54.999999999999993</v>
      </c>
      <c r="M795" s="25" t="s">
        <v>0</v>
      </c>
      <c r="N795" s="28"/>
      <c r="O795" s="28" t="s">
        <v>39</v>
      </c>
      <c r="P795" s="25" t="s">
        <v>20</v>
      </c>
    </row>
    <row r="796" spans="1:16" x14ac:dyDescent="0.25">
      <c r="A796" s="23">
        <f t="shared" si="52"/>
        <v>795</v>
      </c>
      <c r="B796" s="24">
        <v>43197</v>
      </c>
      <c r="C796" s="18" t="str">
        <f t="shared" si="49"/>
        <v>Saturday</v>
      </c>
      <c r="D796" s="10" t="str">
        <f t="shared" si="50"/>
        <v>Same</v>
      </c>
      <c r="E796" s="2">
        <v>49.2</v>
      </c>
      <c r="F796" s="2">
        <v>10</v>
      </c>
      <c r="G796" s="1">
        <f t="shared" si="51"/>
        <v>0.2032520325203252</v>
      </c>
      <c r="H796" s="2">
        <v>1.5</v>
      </c>
      <c r="I796" s="26">
        <v>0.7416666666666667</v>
      </c>
      <c r="J796" s="26">
        <v>0.77847222222222223</v>
      </c>
      <c r="K796" s="27">
        <f>Table3[[#This Row],[Delivery Time]]-Table3[[#This Row],[Order Time]]</f>
        <v>3.6805555555555536E-2</v>
      </c>
      <c r="L796" s="43">
        <v>53</v>
      </c>
      <c r="M796" s="25" t="s">
        <v>0</v>
      </c>
      <c r="N796" s="28"/>
      <c r="O796" s="28" t="s">
        <v>39</v>
      </c>
      <c r="P796" s="25" t="s">
        <v>20</v>
      </c>
    </row>
    <row r="797" spans="1:16" x14ac:dyDescent="0.25">
      <c r="A797" s="23">
        <f t="shared" si="52"/>
        <v>796</v>
      </c>
      <c r="B797" s="24">
        <v>43197</v>
      </c>
      <c r="C797" s="18" t="str">
        <f t="shared" si="49"/>
        <v>Saturday</v>
      </c>
      <c r="D797" s="10" t="str">
        <f t="shared" si="50"/>
        <v>Same</v>
      </c>
      <c r="E797" s="2">
        <v>46.98</v>
      </c>
      <c r="F797" s="2">
        <v>10</v>
      </c>
      <c r="G797" s="1">
        <f t="shared" si="51"/>
        <v>0.21285653469561516</v>
      </c>
      <c r="H797" s="2">
        <v>1.5</v>
      </c>
      <c r="I797" s="26">
        <v>0.7402777777777777</v>
      </c>
      <c r="J797" s="26">
        <v>0.78611111111111109</v>
      </c>
      <c r="K797" s="27">
        <f>Table3[[#This Row],[Delivery Time]]-Table3[[#This Row],[Order Time]]</f>
        <v>4.5833333333333393E-2</v>
      </c>
      <c r="L797" s="43">
        <v>66</v>
      </c>
      <c r="M797" s="25" t="s">
        <v>0</v>
      </c>
      <c r="N797" s="28"/>
      <c r="O797" s="28" t="s">
        <v>39</v>
      </c>
      <c r="P797" s="25" t="s">
        <v>20</v>
      </c>
    </row>
    <row r="798" spans="1:16" x14ac:dyDescent="0.25">
      <c r="A798" s="23">
        <f t="shared" si="52"/>
        <v>797</v>
      </c>
      <c r="B798" s="24">
        <v>43197</v>
      </c>
      <c r="C798" s="18" t="str">
        <f t="shared" si="49"/>
        <v>Saturday</v>
      </c>
      <c r="D798" s="10" t="str">
        <f t="shared" si="50"/>
        <v>Same</v>
      </c>
      <c r="E798" s="2">
        <v>124.22</v>
      </c>
      <c r="F798" s="2">
        <v>20</v>
      </c>
      <c r="G798" s="1">
        <f t="shared" si="51"/>
        <v>0.16100466913540493</v>
      </c>
      <c r="H798" s="2">
        <v>5</v>
      </c>
      <c r="I798" s="26">
        <v>0.80069444444444438</v>
      </c>
      <c r="J798" s="26">
        <v>0.83333333333333337</v>
      </c>
      <c r="K798" s="27">
        <f>Table3[[#This Row],[Delivery Time]]-Table3[[#This Row],[Order Time]]</f>
        <v>3.2638888888888995E-2</v>
      </c>
      <c r="L798" s="43">
        <v>47.000000000000007</v>
      </c>
      <c r="M798" s="25" t="s">
        <v>0</v>
      </c>
      <c r="N798" s="28"/>
      <c r="O798" s="28" t="s">
        <v>39</v>
      </c>
      <c r="P798" s="25" t="s">
        <v>20</v>
      </c>
    </row>
    <row r="799" spans="1:16" x14ac:dyDescent="0.25">
      <c r="A799" s="23">
        <f t="shared" si="52"/>
        <v>798</v>
      </c>
      <c r="B799" s="24">
        <v>43197</v>
      </c>
      <c r="C799" s="18" t="str">
        <f t="shared" si="49"/>
        <v>Saturday</v>
      </c>
      <c r="D799" s="10" t="str">
        <f t="shared" si="50"/>
        <v>Same</v>
      </c>
      <c r="E799" s="2">
        <v>97.32</v>
      </c>
      <c r="F799" s="2">
        <v>20</v>
      </c>
      <c r="G799" s="1">
        <f t="shared" si="51"/>
        <v>0.20550760378133992</v>
      </c>
      <c r="H799" s="2">
        <v>1.5</v>
      </c>
      <c r="I799" s="26">
        <v>0.85416666666666663</v>
      </c>
      <c r="J799" s="26">
        <v>0.87986111111111109</v>
      </c>
      <c r="K799" s="27">
        <f>Table3[[#This Row],[Delivery Time]]-Table3[[#This Row],[Order Time]]</f>
        <v>2.5694444444444464E-2</v>
      </c>
      <c r="L799" s="43">
        <v>37</v>
      </c>
      <c r="M799" s="25" t="s">
        <v>0</v>
      </c>
      <c r="N799" s="28"/>
      <c r="O799" s="28" t="s">
        <v>40</v>
      </c>
      <c r="P799" s="25" t="s">
        <v>20</v>
      </c>
    </row>
    <row r="800" spans="1:16" x14ac:dyDescent="0.25">
      <c r="A800" s="23">
        <f t="shared" si="52"/>
        <v>799</v>
      </c>
      <c r="B800" s="24">
        <v>43197</v>
      </c>
      <c r="C800" s="18" t="str">
        <f t="shared" si="49"/>
        <v>Saturday</v>
      </c>
      <c r="D800" s="10" t="str">
        <f t="shared" si="50"/>
        <v>Same</v>
      </c>
      <c r="E800" s="2">
        <v>59.48</v>
      </c>
      <c r="F800" s="2">
        <v>12</v>
      </c>
      <c r="G800" s="1">
        <f t="shared" si="51"/>
        <v>0.20174848688634836</v>
      </c>
      <c r="H800" s="2">
        <v>5</v>
      </c>
      <c r="I800" s="26">
        <v>0.85277777777777775</v>
      </c>
      <c r="J800" s="26">
        <v>0.89583333333333337</v>
      </c>
      <c r="K800" s="27">
        <f>Table3[[#This Row],[Delivery Time]]-Table3[[#This Row],[Order Time]]</f>
        <v>4.3055555555555625E-2</v>
      </c>
      <c r="L800" s="43">
        <v>62.000000000000007</v>
      </c>
      <c r="M800" s="25" t="s">
        <v>0</v>
      </c>
      <c r="N800" s="28"/>
      <c r="O800" s="28" t="s">
        <v>39</v>
      </c>
      <c r="P800" s="25" t="s">
        <v>20</v>
      </c>
    </row>
    <row r="801" spans="1:16" x14ac:dyDescent="0.25">
      <c r="A801" s="23">
        <f t="shared" si="52"/>
        <v>800</v>
      </c>
      <c r="B801" s="24">
        <v>43198</v>
      </c>
      <c r="C801" s="18" t="str">
        <f t="shared" si="49"/>
        <v>Sunday</v>
      </c>
      <c r="D801" s="10" t="str">
        <f t="shared" si="50"/>
        <v>Different</v>
      </c>
      <c r="E801" s="2">
        <v>44.06</v>
      </c>
      <c r="F801" s="2">
        <v>6</v>
      </c>
      <c r="G801" s="1">
        <f t="shared" si="51"/>
        <v>0.13617793917385382</v>
      </c>
      <c r="H801" s="2">
        <v>1.5</v>
      </c>
      <c r="I801" s="26">
        <v>0.72013888888888899</v>
      </c>
      <c r="J801" s="26">
        <v>0.7416666666666667</v>
      </c>
      <c r="K801" s="27">
        <f>Table3[[#This Row],[Delivery Time]]-Table3[[#This Row],[Order Time]]</f>
        <v>2.1527777777777701E-2</v>
      </c>
      <c r="L801" s="43">
        <v>31.000000000000004</v>
      </c>
      <c r="M801" s="25" t="s">
        <v>0</v>
      </c>
      <c r="N801" s="28"/>
      <c r="O801" s="28" t="s">
        <v>39</v>
      </c>
      <c r="P801" s="25" t="s">
        <v>20</v>
      </c>
    </row>
    <row r="802" spans="1:16" x14ac:dyDescent="0.25">
      <c r="A802" s="23">
        <f t="shared" si="52"/>
        <v>801</v>
      </c>
      <c r="B802" s="24">
        <v>43198</v>
      </c>
      <c r="C802" s="18" t="str">
        <f t="shared" si="49"/>
        <v>Sunday</v>
      </c>
      <c r="D802" s="10" t="str">
        <f t="shared" si="50"/>
        <v>Same</v>
      </c>
      <c r="E802" s="2">
        <v>34.86</v>
      </c>
      <c r="F802" s="2">
        <v>4</v>
      </c>
      <c r="G802" s="1">
        <f t="shared" si="51"/>
        <v>0.11474469305794607</v>
      </c>
      <c r="H802" s="2">
        <v>5</v>
      </c>
      <c r="I802" s="26">
        <v>0.71250000000000002</v>
      </c>
      <c r="J802" s="26">
        <v>0.75</v>
      </c>
      <c r="K802" s="27">
        <f>Table3[[#This Row],[Delivery Time]]-Table3[[#This Row],[Order Time]]</f>
        <v>3.7499999999999978E-2</v>
      </c>
      <c r="L802" s="43">
        <v>53.999999999999993</v>
      </c>
      <c r="M802" s="25" t="s">
        <v>0</v>
      </c>
      <c r="N802" s="28"/>
      <c r="O802" s="28" t="s">
        <v>39</v>
      </c>
      <c r="P802" s="25" t="s">
        <v>20</v>
      </c>
    </row>
    <row r="803" spans="1:16" x14ac:dyDescent="0.25">
      <c r="A803" s="23">
        <f t="shared" si="52"/>
        <v>802</v>
      </c>
      <c r="B803" s="24">
        <v>43198</v>
      </c>
      <c r="C803" s="18" t="str">
        <f t="shared" si="49"/>
        <v>Sunday</v>
      </c>
      <c r="D803" s="10" t="str">
        <f t="shared" si="50"/>
        <v>Same</v>
      </c>
      <c r="E803" s="2">
        <v>36.81</v>
      </c>
      <c r="F803" s="2">
        <v>5</v>
      </c>
      <c r="G803" s="1">
        <f t="shared" si="51"/>
        <v>0.13583265417006246</v>
      </c>
      <c r="H803" s="2">
        <v>5</v>
      </c>
      <c r="I803" s="26">
        <v>0.72013888888888899</v>
      </c>
      <c r="J803" s="26">
        <v>0.76180555555555562</v>
      </c>
      <c r="K803" s="27">
        <f>Table3[[#This Row],[Delivery Time]]-Table3[[#This Row],[Order Time]]</f>
        <v>4.166666666666663E-2</v>
      </c>
      <c r="L803" s="43">
        <v>60</v>
      </c>
      <c r="M803" s="25" t="s">
        <v>0</v>
      </c>
      <c r="N803" s="28"/>
      <c r="O803" s="28" t="s">
        <v>39</v>
      </c>
      <c r="P803" s="25" t="s">
        <v>20</v>
      </c>
    </row>
    <row r="804" spans="1:16" x14ac:dyDescent="0.25">
      <c r="A804" s="23">
        <f t="shared" si="52"/>
        <v>803</v>
      </c>
      <c r="B804" s="24">
        <v>43198</v>
      </c>
      <c r="C804" s="18" t="str">
        <f t="shared" si="49"/>
        <v>Sunday</v>
      </c>
      <c r="D804" s="10" t="str">
        <f t="shared" si="50"/>
        <v>Same</v>
      </c>
      <c r="E804" s="2">
        <v>41.68</v>
      </c>
      <c r="F804" s="2">
        <v>8.32</v>
      </c>
      <c r="G804" s="1">
        <f t="shared" si="51"/>
        <v>0.199616122840691</v>
      </c>
      <c r="H804" s="2">
        <v>1.5</v>
      </c>
      <c r="I804" s="26">
        <v>0.79861111111111116</v>
      </c>
      <c r="J804" s="26">
        <v>0.81805555555555554</v>
      </c>
      <c r="K804" s="27">
        <f>Table3[[#This Row],[Delivery Time]]-Table3[[#This Row],[Order Time]]</f>
        <v>1.9444444444444375E-2</v>
      </c>
      <c r="L804" s="43">
        <v>28</v>
      </c>
      <c r="M804" s="25" t="s">
        <v>11</v>
      </c>
      <c r="N804" s="28"/>
      <c r="O804" s="28" t="s">
        <v>39</v>
      </c>
      <c r="P804" s="25" t="s">
        <v>20</v>
      </c>
    </row>
    <row r="805" spans="1:16" x14ac:dyDescent="0.25">
      <c r="A805" s="23">
        <f t="shared" si="52"/>
        <v>804</v>
      </c>
      <c r="B805" s="24">
        <v>43198</v>
      </c>
      <c r="C805" s="18" t="str">
        <f t="shared" si="49"/>
        <v>Sunday</v>
      </c>
      <c r="D805" s="10" t="str">
        <f t="shared" si="50"/>
        <v>Same</v>
      </c>
      <c r="E805" s="2">
        <v>71.88</v>
      </c>
      <c r="F805" s="2">
        <v>8</v>
      </c>
      <c r="G805" s="1">
        <f t="shared" si="51"/>
        <v>0.11129660545353368</v>
      </c>
      <c r="H805" s="2">
        <v>1.5</v>
      </c>
      <c r="I805" s="26">
        <v>0.7993055555555556</v>
      </c>
      <c r="J805" s="26">
        <v>0.82847222222222217</v>
      </c>
      <c r="K805" s="27">
        <f>Table3[[#This Row],[Delivery Time]]-Table3[[#This Row],[Order Time]]</f>
        <v>2.9166666666666563E-2</v>
      </c>
      <c r="L805" s="43">
        <v>42</v>
      </c>
      <c r="M805" s="25" t="s">
        <v>11</v>
      </c>
      <c r="N805" s="28"/>
      <c r="O805" s="28" t="s">
        <v>39</v>
      </c>
      <c r="P805" s="25" t="s">
        <v>20</v>
      </c>
    </row>
    <row r="806" spans="1:16" x14ac:dyDescent="0.25">
      <c r="A806" s="23">
        <f t="shared" si="52"/>
        <v>805</v>
      </c>
      <c r="B806" s="24">
        <v>43203</v>
      </c>
      <c r="C806" s="18" t="str">
        <f t="shared" si="49"/>
        <v>Friday</v>
      </c>
      <c r="D806" s="10" t="str">
        <f t="shared" si="50"/>
        <v>Different</v>
      </c>
      <c r="E806" s="2">
        <v>33.5</v>
      </c>
      <c r="F806" s="2">
        <v>5</v>
      </c>
      <c r="G806" s="1">
        <f t="shared" si="51"/>
        <v>0.14925373134328357</v>
      </c>
      <c r="H806" s="2">
        <v>5</v>
      </c>
      <c r="I806" s="26">
        <v>0.71180555555555547</v>
      </c>
      <c r="J806" s="26">
        <v>0.7402777777777777</v>
      </c>
      <c r="K806" s="27">
        <f>Table3[[#This Row],[Delivery Time]]-Table3[[#This Row],[Order Time]]</f>
        <v>2.8472222222222232E-2</v>
      </c>
      <c r="L806" s="43">
        <v>41</v>
      </c>
      <c r="M806" s="25" t="s">
        <v>0</v>
      </c>
      <c r="N806" s="28"/>
      <c r="O806" s="28" t="s">
        <v>39</v>
      </c>
      <c r="P806" s="25" t="s">
        <v>20</v>
      </c>
    </row>
    <row r="807" spans="1:16" x14ac:dyDescent="0.25">
      <c r="A807" s="23">
        <f t="shared" si="52"/>
        <v>806</v>
      </c>
      <c r="B807" s="24">
        <v>43203</v>
      </c>
      <c r="C807" s="18" t="str">
        <f t="shared" si="49"/>
        <v>Friday</v>
      </c>
      <c r="D807" s="10" t="str">
        <f t="shared" si="50"/>
        <v>Same</v>
      </c>
      <c r="E807" s="2">
        <v>53.75</v>
      </c>
      <c r="F807" s="2">
        <v>10</v>
      </c>
      <c r="G807" s="1">
        <f t="shared" si="51"/>
        <v>0.18604651162790697</v>
      </c>
      <c r="H807" s="2">
        <v>1.5</v>
      </c>
      <c r="I807" s="26">
        <v>0.71458333333333324</v>
      </c>
      <c r="J807" s="26">
        <v>0.75277777777777777</v>
      </c>
      <c r="K807" s="27">
        <f>Table3[[#This Row],[Delivery Time]]-Table3[[#This Row],[Order Time]]</f>
        <v>3.8194444444444531E-2</v>
      </c>
      <c r="L807" s="43">
        <v>54.999999999999993</v>
      </c>
      <c r="M807" s="25" t="s">
        <v>0</v>
      </c>
      <c r="N807" s="28"/>
      <c r="O807" s="28" t="s">
        <v>40</v>
      </c>
      <c r="P807" s="25" t="s">
        <v>20</v>
      </c>
    </row>
    <row r="808" spans="1:16" x14ac:dyDescent="0.25">
      <c r="A808" s="23">
        <f t="shared" si="52"/>
        <v>807</v>
      </c>
      <c r="B808" s="24">
        <v>43203</v>
      </c>
      <c r="C808" s="18" t="str">
        <f t="shared" si="49"/>
        <v>Friday</v>
      </c>
      <c r="D808" s="10" t="str">
        <f t="shared" si="50"/>
        <v>Same</v>
      </c>
      <c r="E808" s="2">
        <v>32.200000000000003</v>
      </c>
      <c r="F808" s="2">
        <v>5</v>
      </c>
      <c r="G808" s="1">
        <f t="shared" si="51"/>
        <v>0.15527950310559005</v>
      </c>
      <c r="H808" s="2">
        <v>1.5</v>
      </c>
      <c r="I808" s="26">
        <v>0.71458333333333324</v>
      </c>
      <c r="J808" s="26">
        <v>0.7631944444444444</v>
      </c>
      <c r="K808" s="27">
        <f>Table3[[#This Row],[Delivery Time]]-Table3[[#This Row],[Order Time]]</f>
        <v>4.861111111111116E-2</v>
      </c>
      <c r="L808" s="43">
        <v>70</v>
      </c>
      <c r="M808" s="25" t="s">
        <v>0</v>
      </c>
      <c r="N808" s="28"/>
      <c r="O808" s="28" t="s">
        <v>41</v>
      </c>
      <c r="P808" s="25" t="s">
        <v>20</v>
      </c>
    </row>
    <row r="809" spans="1:16" x14ac:dyDescent="0.25">
      <c r="A809" s="23">
        <f t="shared" si="52"/>
        <v>808</v>
      </c>
      <c r="B809" s="24">
        <v>43203</v>
      </c>
      <c r="C809" s="18" t="str">
        <f t="shared" si="49"/>
        <v>Friday</v>
      </c>
      <c r="D809" s="10" t="str">
        <f t="shared" si="50"/>
        <v>Same</v>
      </c>
      <c r="E809" s="2">
        <v>24.57</v>
      </c>
      <c r="F809" s="2">
        <v>4</v>
      </c>
      <c r="G809" s="1">
        <f t="shared" si="51"/>
        <v>0.1628001628001628</v>
      </c>
      <c r="H809" s="2">
        <v>1.5</v>
      </c>
      <c r="I809" s="26">
        <v>0.78125</v>
      </c>
      <c r="J809" s="26">
        <v>0.80555555555555547</v>
      </c>
      <c r="K809" s="27">
        <f>Table3[[#This Row],[Delivery Time]]-Table3[[#This Row],[Order Time]]</f>
        <v>2.4305555555555469E-2</v>
      </c>
      <c r="L809" s="43">
        <v>35</v>
      </c>
      <c r="M809" s="25" t="s">
        <v>0</v>
      </c>
      <c r="N809" s="28"/>
      <c r="O809" s="28" t="s">
        <v>40</v>
      </c>
      <c r="P809" s="25" t="s">
        <v>20</v>
      </c>
    </row>
    <row r="810" spans="1:16" x14ac:dyDescent="0.25">
      <c r="A810" s="23">
        <f t="shared" si="52"/>
        <v>809</v>
      </c>
      <c r="B810" s="24">
        <v>43203</v>
      </c>
      <c r="C810" s="18" t="str">
        <f t="shared" si="49"/>
        <v>Friday</v>
      </c>
      <c r="D810" s="10" t="str">
        <f t="shared" si="50"/>
        <v>Same</v>
      </c>
      <c r="E810" s="2">
        <v>58.4</v>
      </c>
      <c r="F810" s="2">
        <v>1.5</v>
      </c>
      <c r="G810" s="1">
        <f t="shared" si="51"/>
        <v>2.5684931506849317E-2</v>
      </c>
      <c r="H810" s="2">
        <v>5</v>
      </c>
      <c r="I810" s="26">
        <v>0.78125</v>
      </c>
      <c r="J810" s="26">
        <v>0.81805555555555554</v>
      </c>
      <c r="K810" s="27">
        <f>Table3[[#This Row],[Delivery Time]]-Table3[[#This Row],[Order Time]]</f>
        <v>3.6805555555555536E-2</v>
      </c>
      <c r="L810" s="43">
        <v>53</v>
      </c>
      <c r="M810" s="25" t="s">
        <v>27</v>
      </c>
      <c r="N810" s="28"/>
      <c r="O810" s="28" t="s">
        <v>39</v>
      </c>
      <c r="P810" s="25" t="s">
        <v>20</v>
      </c>
    </row>
    <row r="811" spans="1:16" x14ac:dyDescent="0.25">
      <c r="A811" s="23">
        <f t="shared" si="52"/>
        <v>810</v>
      </c>
      <c r="B811" s="24">
        <v>43203</v>
      </c>
      <c r="C811" s="18" t="str">
        <f t="shared" si="49"/>
        <v>Friday</v>
      </c>
      <c r="D811" s="10" t="str">
        <f t="shared" si="50"/>
        <v>Same</v>
      </c>
      <c r="E811" s="2">
        <v>35.67</v>
      </c>
      <c r="F811" s="2">
        <v>4</v>
      </c>
      <c r="G811" s="1">
        <f t="shared" si="51"/>
        <v>0.112139052425007</v>
      </c>
      <c r="H811" s="2">
        <v>5</v>
      </c>
      <c r="I811" s="26">
        <v>0.78819444444444453</v>
      </c>
      <c r="J811" s="26">
        <v>0.82430555555555562</v>
      </c>
      <c r="K811" s="27">
        <f>Table3[[#This Row],[Delivery Time]]-Table3[[#This Row],[Order Time]]</f>
        <v>3.6111111111111094E-2</v>
      </c>
      <c r="L811" s="43">
        <v>52</v>
      </c>
      <c r="M811" s="25" t="s">
        <v>0</v>
      </c>
      <c r="N811" s="28"/>
      <c r="O811" s="28" t="s">
        <v>39</v>
      </c>
      <c r="P811" s="25" t="s">
        <v>20</v>
      </c>
    </row>
    <row r="812" spans="1:16" x14ac:dyDescent="0.25">
      <c r="A812" s="23">
        <f t="shared" si="52"/>
        <v>811</v>
      </c>
      <c r="B812" s="24">
        <v>43203</v>
      </c>
      <c r="C812" s="18" t="str">
        <f t="shared" si="49"/>
        <v>Friday</v>
      </c>
      <c r="D812" s="10" t="str">
        <f t="shared" si="50"/>
        <v>Same</v>
      </c>
      <c r="E812" s="2">
        <v>29.71</v>
      </c>
      <c r="F812" s="2">
        <v>9</v>
      </c>
      <c r="G812" s="1">
        <f t="shared" si="51"/>
        <v>0.30292830696735107</v>
      </c>
      <c r="H812" s="2">
        <v>5</v>
      </c>
      <c r="I812" s="26">
        <v>0.83194444444444438</v>
      </c>
      <c r="J812" s="26">
        <v>0.85833333333333339</v>
      </c>
      <c r="K812" s="27">
        <f>Table3[[#This Row],[Delivery Time]]-Table3[[#This Row],[Order Time]]</f>
        <v>2.6388888888889017E-2</v>
      </c>
      <c r="L812" s="43">
        <v>38</v>
      </c>
      <c r="M812" s="25" t="s">
        <v>12</v>
      </c>
      <c r="N812" s="28"/>
      <c r="O812" s="28" t="s">
        <v>39</v>
      </c>
      <c r="P812" s="25" t="s">
        <v>20</v>
      </c>
    </row>
    <row r="813" spans="1:16" x14ac:dyDescent="0.25">
      <c r="A813" s="23">
        <f t="shared" si="52"/>
        <v>812</v>
      </c>
      <c r="B813" s="24">
        <v>43204</v>
      </c>
      <c r="C813" s="18" t="str">
        <f t="shared" si="49"/>
        <v>Saturday</v>
      </c>
      <c r="D813" s="10" t="str">
        <f t="shared" si="50"/>
        <v>Different</v>
      </c>
      <c r="E813" s="2">
        <v>33.5</v>
      </c>
      <c r="F813" s="2">
        <v>4</v>
      </c>
      <c r="G813" s="1">
        <f t="shared" si="51"/>
        <v>0.11940298507462686</v>
      </c>
      <c r="H813" s="2">
        <v>1.5</v>
      </c>
      <c r="I813" s="26">
        <v>0.73055555555555562</v>
      </c>
      <c r="J813" s="26">
        <v>0.75694444444444453</v>
      </c>
      <c r="K813" s="27">
        <f>Table3[[#This Row],[Delivery Time]]-Table3[[#This Row],[Order Time]]</f>
        <v>2.6388888888888906E-2</v>
      </c>
      <c r="L813" s="43">
        <v>38</v>
      </c>
      <c r="M813" s="25" t="s">
        <v>0</v>
      </c>
      <c r="N813" s="28"/>
      <c r="O813" s="28" t="s">
        <v>39</v>
      </c>
      <c r="P813" s="25" t="s">
        <v>20</v>
      </c>
    </row>
    <row r="814" spans="1:16" x14ac:dyDescent="0.25">
      <c r="A814" s="23">
        <f t="shared" si="52"/>
        <v>813</v>
      </c>
      <c r="B814" s="24">
        <v>43204</v>
      </c>
      <c r="C814" s="18" t="str">
        <f t="shared" si="49"/>
        <v>Saturday</v>
      </c>
      <c r="D814" s="10" t="str">
        <f t="shared" si="50"/>
        <v>Same</v>
      </c>
      <c r="E814" s="2">
        <v>43.19</v>
      </c>
      <c r="F814" s="2">
        <v>5</v>
      </c>
      <c r="G814" s="1">
        <f t="shared" si="51"/>
        <v>0.11576753878212549</v>
      </c>
      <c r="H814" s="2">
        <v>1.5</v>
      </c>
      <c r="I814" s="26">
        <v>0.73819444444444438</v>
      </c>
      <c r="J814" s="26">
        <v>0.7680555555555556</v>
      </c>
      <c r="K814" s="27">
        <f>Table3[[#This Row],[Delivery Time]]-Table3[[#This Row],[Order Time]]</f>
        <v>2.9861111111111227E-2</v>
      </c>
      <c r="L814" s="43">
        <v>43</v>
      </c>
      <c r="M814" s="25" t="s">
        <v>0</v>
      </c>
      <c r="N814" s="28"/>
      <c r="O814" s="28" t="s">
        <v>39</v>
      </c>
      <c r="P814" s="25" t="s">
        <v>20</v>
      </c>
    </row>
    <row r="815" spans="1:16" x14ac:dyDescent="0.25">
      <c r="A815" s="23">
        <f t="shared" si="52"/>
        <v>814</v>
      </c>
      <c r="B815" s="24">
        <v>43204</v>
      </c>
      <c r="C815" s="18" t="str">
        <f t="shared" si="49"/>
        <v>Saturday</v>
      </c>
      <c r="D815" s="10" t="str">
        <f t="shared" si="50"/>
        <v>Same</v>
      </c>
      <c r="E815" s="2">
        <v>18.940000000000001</v>
      </c>
      <c r="F815" s="2">
        <v>4</v>
      </c>
      <c r="G815" s="1">
        <f t="shared" si="51"/>
        <v>0.21119324181626187</v>
      </c>
      <c r="H815" s="2">
        <v>1.5</v>
      </c>
      <c r="I815" s="26">
        <v>0.77638888888888891</v>
      </c>
      <c r="J815" s="26">
        <v>0.80555555555555547</v>
      </c>
      <c r="K815" s="27">
        <f>Table3[[#This Row],[Delivery Time]]-Table3[[#This Row],[Order Time]]</f>
        <v>2.9166666666666563E-2</v>
      </c>
      <c r="L815" s="43">
        <v>42</v>
      </c>
      <c r="M815" s="25" t="s">
        <v>0</v>
      </c>
      <c r="N815" s="28"/>
      <c r="O815" s="28" t="s">
        <v>41</v>
      </c>
      <c r="P815" s="25" t="s">
        <v>20</v>
      </c>
    </row>
    <row r="816" spans="1:16" x14ac:dyDescent="0.25">
      <c r="A816" s="23">
        <f t="shared" si="52"/>
        <v>815</v>
      </c>
      <c r="B816" s="24">
        <v>43204</v>
      </c>
      <c r="C816" s="18" t="str">
        <f t="shared" si="49"/>
        <v>Saturday</v>
      </c>
      <c r="D816" s="10" t="str">
        <f t="shared" si="50"/>
        <v>Same</v>
      </c>
      <c r="E816" s="2">
        <v>34.04</v>
      </c>
      <c r="F816" s="2">
        <v>6</v>
      </c>
      <c r="G816" s="1">
        <f t="shared" si="51"/>
        <v>0.17626321974148063</v>
      </c>
      <c r="H816" s="2">
        <v>1.5</v>
      </c>
      <c r="I816" s="26">
        <v>0.7715277777777777</v>
      </c>
      <c r="J816" s="26">
        <v>0.81805555555555554</v>
      </c>
      <c r="K816" s="27">
        <f>Table3[[#This Row],[Delivery Time]]-Table3[[#This Row],[Order Time]]</f>
        <v>4.6527777777777835E-2</v>
      </c>
      <c r="L816" s="43">
        <v>67</v>
      </c>
      <c r="M816" s="25" t="s">
        <v>0</v>
      </c>
      <c r="N816" s="28"/>
      <c r="O816" s="28" t="s">
        <v>39</v>
      </c>
      <c r="P816" s="25" t="s">
        <v>20</v>
      </c>
    </row>
    <row r="817" spans="1:16" x14ac:dyDescent="0.25">
      <c r="A817" s="23">
        <f t="shared" si="52"/>
        <v>816</v>
      </c>
      <c r="B817" s="24">
        <v>43204</v>
      </c>
      <c r="C817" s="18" t="str">
        <f t="shared" si="49"/>
        <v>Saturday</v>
      </c>
      <c r="D817" s="10" t="str">
        <f t="shared" si="50"/>
        <v>Same</v>
      </c>
      <c r="E817" s="2">
        <v>23.27</v>
      </c>
      <c r="F817" s="2">
        <v>10</v>
      </c>
      <c r="G817" s="1">
        <f t="shared" si="51"/>
        <v>0.42973785990545765</v>
      </c>
      <c r="H817" s="2">
        <v>1.5</v>
      </c>
      <c r="I817" s="26">
        <v>0.83958333333333324</v>
      </c>
      <c r="J817" s="26">
        <v>0.8652777777777777</v>
      </c>
      <c r="K817" s="27">
        <f>Table3[[#This Row],[Delivery Time]]-Table3[[#This Row],[Order Time]]</f>
        <v>2.5694444444444464E-2</v>
      </c>
      <c r="L817" s="43">
        <v>37</v>
      </c>
      <c r="M817" s="25" t="s">
        <v>0</v>
      </c>
      <c r="N817" s="28"/>
      <c r="O817" s="28" t="s">
        <v>40</v>
      </c>
      <c r="P817" s="25" t="s">
        <v>20</v>
      </c>
    </row>
    <row r="818" spans="1:16" x14ac:dyDescent="0.25">
      <c r="A818" s="23">
        <f t="shared" si="52"/>
        <v>817</v>
      </c>
      <c r="B818" s="24">
        <v>43204</v>
      </c>
      <c r="C818" s="18" t="str">
        <f t="shared" si="49"/>
        <v>Saturday</v>
      </c>
      <c r="D818" s="10" t="str">
        <f t="shared" si="50"/>
        <v>Same</v>
      </c>
      <c r="E818" s="2">
        <v>29.44</v>
      </c>
      <c r="F818" s="2">
        <v>5</v>
      </c>
      <c r="G818" s="1">
        <f t="shared" si="51"/>
        <v>0.16983695652173914</v>
      </c>
      <c r="H818" s="2">
        <v>1.5</v>
      </c>
      <c r="I818" s="26">
        <v>0.8354166666666667</v>
      </c>
      <c r="J818" s="26">
        <v>0.875</v>
      </c>
      <c r="K818" s="27">
        <f>Table3[[#This Row],[Delivery Time]]-Table3[[#This Row],[Order Time]]</f>
        <v>3.9583333333333304E-2</v>
      </c>
      <c r="L818" s="43">
        <v>57</v>
      </c>
      <c r="M818" s="25" t="s">
        <v>0</v>
      </c>
      <c r="N818" s="28"/>
      <c r="O818" s="28" t="s">
        <v>41</v>
      </c>
      <c r="P818" s="25" t="s">
        <v>20</v>
      </c>
    </row>
    <row r="819" spans="1:16" x14ac:dyDescent="0.25">
      <c r="A819" s="23">
        <f t="shared" si="52"/>
        <v>818</v>
      </c>
      <c r="B819" s="24">
        <v>43205</v>
      </c>
      <c r="C819" s="18" t="str">
        <f t="shared" si="49"/>
        <v>Sunday</v>
      </c>
      <c r="D819" s="10" t="str">
        <f t="shared" si="50"/>
        <v>Different</v>
      </c>
      <c r="E819" s="2">
        <v>39.51</v>
      </c>
      <c r="F819" s="2">
        <v>5</v>
      </c>
      <c r="G819" s="1">
        <f t="shared" si="51"/>
        <v>0.12655024044545685</v>
      </c>
      <c r="H819" s="2">
        <v>1.5</v>
      </c>
      <c r="I819" s="26">
        <v>0.71597222222222223</v>
      </c>
      <c r="J819" s="26">
        <v>0.7402777777777777</v>
      </c>
      <c r="K819" s="27">
        <f>Table3[[#This Row],[Delivery Time]]-Table3[[#This Row],[Order Time]]</f>
        <v>2.4305555555555469E-2</v>
      </c>
      <c r="L819" s="43">
        <v>35</v>
      </c>
      <c r="M819" s="25" t="s">
        <v>12</v>
      </c>
      <c r="N819" s="28"/>
      <c r="O819" s="28" t="s">
        <v>39</v>
      </c>
      <c r="P819" s="25" t="s">
        <v>20</v>
      </c>
    </row>
    <row r="820" spans="1:16" x14ac:dyDescent="0.25">
      <c r="A820" s="23">
        <f t="shared" si="52"/>
        <v>819</v>
      </c>
      <c r="B820" s="24">
        <v>43205</v>
      </c>
      <c r="C820" s="18" t="str">
        <f t="shared" si="49"/>
        <v>Sunday</v>
      </c>
      <c r="D820" s="10" t="str">
        <f t="shared" si="50"/>
        <v>Same</v>
      </c>
      <c r="E820" s="2">
        <v>23.82</v>
      </c>
      <c r="F820" s="2">
        <v>6.18</v>
      </c>
      <c r="G820" s="1">
        <f t="shared" si="51"/>
        <v>0.25944584382871533</v>
      </c>
      <c r="H820" s="2">
        <v>1.5</v>
      </c>
      <c r="I820" s="26">
        <v>0.71597222222222223</v>
      </c>
      <c r="J820" s="26">
        <v>0.74930555555555556</v>
      </c>
      <c r="K820" s="27">
        <f>Table3[[#This Row],[Delivery Time]]-Table3[[#This Row],[Order Time]]</f>
        <v>3.3333333333333326E-2</v>
      </c>
      <c r="L820" s="43">
        <v>48</v>
      </c>
      <c r="M820" s="25" t="s">
        <v>0</v>
      </c>
      <c r="N820" s="28" t="s">
        <v>24</v>
      </c>
      <c r="O820" s="28" t="s">
        <v>39</v>
      </c>
      <c r="P820" s="25" t="s">
        <v>20</v>
      </c>
    </row>
    <row r="821" spans="1:16" x14ac:dyDescent="0.25">
      <c r="A821" s="23">
        <f t="shared" si="52"/>
        <v>820</v>
      </c>
      <c r="B821" s="24">
        <v>43205</v>
      </c>
      <c r="C821" s="18" t="str">
        <f t="shared" si="49"/>
        <v>Sunday</v>
      </c>
      <c r="D821" s="10" t="str">
        <f t="shared" si="50"/>
        <v>Same</v>
      </c>
      <c r="E821" s="2">
        <v>62.41</v>
      </c>
      <c r="F821" s="2">
        <v>5</v>
      </c>
      <c r="G821" s="1">
        <f t="shared" si="51"/>
        <v>8.0115366127223211E-2</v>
      </c>
      <c r="H821" s="2">
        <v>5</v>
      </c>
      <c r="I821" s="26">
        <v>0.72152777777777777</v>
      </c>
      <c r="J821" s="26">
        <v>0.75763888888888886</v>
      </c>
      <c r="K821" s="27">
        <f>Table3[[#This Row],[Delivery Time]]-Table3[[#This Row],[Order Time]]</f>
        <v>3.6111111111111094E-2</v>
      </c>
      <c r="L821" s="43">
        <v>52</v>
      </c>
      <c r="M821" s="25" t="s">
        <v>0</v>
      </c>
      <c r="N821" s="28"/>
      <c r="O821" s="28" t="s">
        <v>39</v>
      </c>
      <c r="P821" s="25" t="s">
        <v>20</v>
      </c>
    </row>
    <row r="822" spans="1:16" x14ac:dyDescent="0.25">
      <c r="A822" s="23">
        <f t="shared" si="52"/>
        <v>821</v>
      </c>
      <c r="B822" s="24">
        <v>43205</v>
      </c>
      <c r="C822" s="18" t="str">
        <f t="shared" si="49"/>
        <v>Sunday</v>
      </c>
      <c r="D822" s="10" t="str">
        <f t="shared" si="50"/>
        <v>Same</v>
      </c>
      <c r="E822" s="2">
        <v>48.39</v>
      </c>
      <c r="F822" s="2">
        <v>3</v>
      </c>
      <c r="G822" s="1">
        <f t="shared" si="51"/>
        <v>6.1996280223186609E-2</v>
      </c>
      <c r="H822" s="2">
        <v>1.5</v>
      </c>
      <c r="I822" s="26">
        <v>0.78472222222222221</v>
      </c>
      <c r="J822" s="26">
        <v>0.81041666666666667</v>
      </c>
      <c r="K822" s="27">
        <f>Table3[[#This Row],[Delivery Time]]-Table3[[#This Row],[Order Time]]</f>
        <v>2.5694444444444464E-2</v>
      </c>
      <c r="L822" s="43">
        <v>37</v>
      </c>
      <c r="M822" s="25" t="s">
        <v>11</v>
      </c>
      <c r="N822" s="28"/>
      <c r="O822" s="28" t="s">
        <v>39</v>
      </c>
      <c r="P822" s="25" t="s">
        <v>20</v>
      </c>
    </row>
    <row r="823" spans="1:16" x14ac:dyDescent="0.25">
      <c r="A823" s="23">
        <f t="shared" si="52"/>
        <v>822</v>
      </c>
      <c r="B823" s="24">
        <v>43205</v>
      </c>
      <c r="C823" s="18" t="str">
        <f t="shared" si="49"/>
        <v>Sunday</v>
      </c>
      <c r="D823" s="10" t="str">
        <f t="shared" si="50"/>
        <v>Same</v>
      </c>
      <c r="E823" s="2">
        <v>40.54</v>
      </c>
      <c r="F823" s="2">
        <v>6</v>
      </c>
      <c r="G823" s="1">
        <f t="shared" si="51"/>
        <v>0.1480019733596448</v>
      </c>
      <c r="H823" s="2">
        <v>5</v>
      </c>
      <c r="I823" s="26">
        <v>0.78402777777777777</v>
      </c>
      <c r="J823" s="26">
        <v>0.81874999999999998</v>
      </c>
      <c r="K823" s="27">
        <f>Table3[[#This Row],[Delivery Time]]-Table3[[#This Row],[Order Time]]</f>
        <v>3.472222222222221E-2</v>
      </c>
      <c r="L823" s="43">
        <v>50</v>
      </c>
      <c r="M823" s="25" t="s">
        <v>11</v>
      </c>
      <c r="N823" s="28"/>
      <c r="O823" s="28" t="s">
        <v>39</v>
      </c>
      <c r="P823" s="25" t="s">
        <v>20</v>
      </c>
    </row>
    <row r="824" spans="1:16" x14ac:dyDescent="0.25">
      <c r="A824" s="23">
        <f t="shared" si="52"/>
        <v>823</v>
      </c>
      <c r="B824" s="24">
        <v>43205</v>
      </c>
      <c r="C824" s="18" t="str">
        <f t="shared" si="49"/>
        <v>Sunday</v>
      </c>
      <c r="D824" s="10" t="str">
        <f t="shared" si="50"/>
        <v>Same</v>
      </c>
      <c r="E824" s="2">
        <v>31.07</v>
      </c>
      <c r="F824" s="2">
        <v>3</v>
      </c>
      <c r="G824" s="1">
        <f t="shared" si="51"/>
        <v>9.6556163501770195E-2</v>
      </c>
      <c r="H824" s="2">
        <v>5</v>
      </c>
      <c r="I824" s="26">
        <v>0.8208333333333333</v>
      </c>
      <c r="J824" s="26">
        <v>0.8534722222222223</v>
      </c>
      <c r="K824" s="27">
        <f>Table3[[#This Row],[Delivery Time]]-Table3[[#This Row],[Order Time]]</f>
        <v>3.2638888888888995E-2</v>
      </c>
      <c r="L824" s="43">
        <v>47.000000000000007</v>
      </c>
      <c r="M824" s="25" t="s">
        <v>0</v>
      </c>
      <c r="N824" s="28"/>
      <c r="O824" s="28" t="s">
        <v>39</v>
      </c>
      <c r="P824" s="25" t="s">
        <v>20</v>
      </c>
    </row>
    <row r="825" spans="1:16" x14ac:dyDescent="0.25">
      <c r="A825" s="23">
        <f t="shared" si="52"/>
        <v>824</v>
      </c>
      <c r="B825" s="24">
        <v>43205</v>
      </c>
      <c r="C825" s="18" t="str">
        <f t="shared" si="49"/>
        <v>Sunday</v>
      </c>
      <c r="D825" s="10" t="str">
        <f t="shared" si="50"/>
        <v>Same</v>
      </c>
      <c r="E825" s="2">
        <v>31.34</v>
      </c>
      <c r="F825" s="2">
        <v>5</v>
      </c>
      <c r="G825" s="1">
        <f t="shared" si="51"/>
        <v>0.1595405232929164</v>
      </c>
      <c r="H825" s="2">
        <v>5</v>
      </c>
      <c r="I825" s="26">
        <v>0.82916666666666661</v>
      </c>
      <c r="J825" s="26">
        <v>0.85833333333333339</v>
      </c>
      <c r="K825" s="27">
        <f>Table3[[#This Row],[Delivery Time]]-Table3[[#This Row],[Order Time]]</f>
        <v>2.9166666666666785E-2</v>
      </c>
      <c r="L825" s="43">
        <v>42</v>
      </c>
      <c r="M825" s="25" t="s">
        <v>0</v>
      </c>
      <c r="N825" s="28"/>
      <c r="O825" s="28" t="s">
        <v>39</v>
      </c>
      <c r="P825" s="25" t="s">
        <v>20</v>
      </c>
    </row>
    <row r="826" spans="1:16" x14ac:dyDescent="0.25">
      <c r="A826" s="23">
        <f t="shared" si="52"/>
        <v>825</v>
      </c>
      <c r="B826" s="24">
        <v>43210</v>
      </c>
      <c r="C826" s="18" t="str">
        <f t="shared" si="49"/>
        <v>Friday</v>
      </c>
      <c r="D826" s="10" t="str">
        <f t="shared" si="50"/>
        <v>Different</v>
      </c>
      <c r="E826" s="2">
        <v>78.319999999999993</v>
      </c>
      <c r="F826" s="2">
        <v>7</v>
      </c>
      <c r="G826" s="1">
        <f t="shared" si="51"/>
        <v>8.9376915219611858E-2</v>
      </c>
      <c r="H826" s="2">
        <v>5</v>
      </c>
      <c r="I826" s="26">
        <v>0.73611111111111116</v>
      </c>
      <c r="J826" s="26">
        <v>0.73611111111111116</v>
      </c>
      <c r="K826" s="27">
        <f>Table3[[#This Row],[Delivery Time]]-Table3[[#This Row],[Order Time]]</f>
        <v>0</v>
      </c>
      <c r="L826" s="43">
        <v>0</v>
      </c>
      <c r="M826" s="25" t="s">
        <v>0</v>
      </c>
      <c r="N826" s="28"/>
      <c r="O826" s="28" t="s">
        <v>39</v>
      </c>
      <c r="P826" s="25" t="s">
        <v>16</v>
      </c>
    </row>
    <row r="827" spans="1:16" x14ac:dyDescent="0.25">
      <c r="A827" s="23">
        <f t="shared" si="52"/>
        <v>826</v>
      </c>
      <c r="B827" s="24">
        <v>43210</v>
      </c>
      <c r="C827" s="18" t="str">
        <f t="shared" si="49"/>
        <v>Friday</v>
      </c>
      <c r="D827" s="10" t="str">
        <f t="shared" si="50"/>
        <v>Same</v>
      </c>
      <c r="E827" s="2">
        <v>37.020000000000003</v>
      </c>
      <c r="F827" s="2">
        <v>8.98</v>
      </c>
      <c r="G827" s="1">
        <f t="shared" si="51"/>
        <v>0.24257158292814693</v>
      </c>
      <c r="H827" s="2">
        <v>5</v>
      </c>
      <c r="I827" s="26">
        <v>0.74444444444444446</v>
      </c>
      <c r="J827" s="26">
        <v>0.76944444444444438</v>
      </c>
      <c r="K827" s="27">
        <f>Table3[[#This Row],[Delivery Time]]-Table3[[#This Row],[Order Time]]</f>
        <v>2.4999999999999911E-2</v>
      </c>
      <c r="L827" s="43">
        <v>36</v>
      </c>
      <c r="M827" s="25" t="s">
        <v>0</v>
      </c>
      <c r="N827" s="28"/>
      <c r="O827" s="28" t="s">
        <v>39</v>
      </c>
      <c r="P827" s="25" t="s">
        <v>20</v>
      </c>
    </row>
    <row r="828" spans="1:16" x14ac:dyDescent="0.25">
      <c r="A828" s="23">
        <f t="shared" si="52"/>
        <v>827</v>
      </c>
      <c r="B828" s="24">
        <v>43210</v>
      </c>
      <c r="C828" s="18" t="str">
        <f t="shared" si="49"/>
        <v>Friday</v>
      </c>
      <c r="D828" s="10" t="str">
        <f t="shared" si="50"/>
        <v>Same</v>
      </c>
      <c r="E828" s="2">
        <v>49.09</v>
      </c>
      <c r="F828" s="2">
        <v>10.91</v>
      </c>
      <c r="G828" s="1">
        <f t="shared" si="51"/>
        <v>0.22224485638622937</v>
      </c>
      <c r="H828" s="2">
        <v>7</v>
      </c>
      <c r="I828" s="26">
        <v>0.77986111111111101</v>
      </c>
      <c r="J828" s="26">
        <v>0.81597222222222221</v>
      </c>
      <c r="K828" s="27">
        <f>Table3[[#This Row],[Delivery Time]]-Table3[[#This Row],[Order Time]]</f>
        <v>3.6111111111111205E-2</v>
      </c>
      <c r="L828" s="43">
        <v>52</v>
      </c>
      <c r="M828" s="25" t="s">
        <v>27</v>
      </c>
      <c r="N828" s="28"/>
      <c r="O828" s="28" t="s">
        <v>39</v>
      </c>
      <c r="P828" s="25" t="s">
        <v>20</v>
      </c>
    </row>
    <row r="829" spans="1:16" x14ac:dyDescent="0.25">
      <c r="A829" s="23">
        <f t="shared" si="52"/>
        <v>828</v>
      </c>
      <c r="B829" s="24">
        <v>43210</v>
      </c>
      <c r="C829" s="18" t="str">
        <f t="shared" si="49"/>
        <v>Friday</v>
      </c>
      <c r="D829" s="10" t="str">
        <f t="shared" si="50"/>
        <v>Same</v>
      </c>
      <c r="E829" s="2">
        <v>48.01</v>
      </c>
      <c r="F829" s="2">
        <v>6</v>
      </c>
      <c r="G829" s="1">
        <f t="shared" si="51"/>
        <v>0.12497396375755052</v>
      </c>
      <c r="H829" s="2">
        <v>7</v>
      </c>
      <c r="I829" s="26">
        <v>0.78541666666666676</v>
      </c>
      <c r="J829" s="26">
        <v>0.82638888888888884</v>
      </c>
      <c r="K829" s="27">
        <f>Table3[[#This Row],[Delivery Time]]-Table3[[#This Row],[Order Time]]</f>
        <v>4.0972222222222077E-2</v>
      </c>
      <c r="L829" s="43">
        <v>59</v>
      </c>
      <c r="M829" s="25" t="s">
        <v>0</v>
      </c>
      <c r="N829" s="28"/>
      <c r="O829" s="28" t="s">
        <v>39</v>
      </c>
      <c r="P829" s="25" t="s">
        <v>20</v>
      </c>
    </row>
    <row r="830" spans="1:16" x14ac:dyDescent="0.25">
      <c r="A830" s="23">
        <f t="shared" si="52"/>
        <v>829</v>
      </c>
      <c r="B830" s="24">
        <v>43210</v>
      </c>
      <c r="C830" s="18" t="str">
        <f t="shared" si="49"/>
        <v>Friday</v>
      </c>
      <c r="D830" s="10" t="str">
        <f t="shared" si="50"/>
        <v>Same</v>
      </c>
      <c r="E830" s="2">
        <v>29.77</v>
      </c>
      <c r="F830" s="2">
        <v>8</v>
      </c>
      <c r="G830" s="1">
        <f t="shared" si="51"/>
        <v>0.26872690628149143</v>
      </c>
      <c r="H830" s="2">
        <v>1.5</v>
      </c>
      <c r="I830" s="26">
        <v>0.79027777777777775</v>
      </c>
      <c r="J830" s="26">
        <v>0.83611111111111114</v>
      </c>
      <c r="K830" s="27">
        <f>Table3[[#This Row],[Delivery Time]]-Table3[[#This Row],[Order Time]]</f>
        <v>4.5833333333333393E-2</v>
      </c>
      <c r="L830" s="43">
        <v>66</v>
      </c>
      <c r="M830" s="25" t="s">
        <v>0</v>
      </c>
      <c r="N830" s="28"/>
      <c r="O830" s="28" t="s">
        <v>39</v>
      </c>
      <c r="P830" s="25" t="s">
        <v>20</v>
      </c>
    </row>
    <row r="831" spans="1:16" x14ac:dyDescent="0.25">
      <c r="A831" s="23">
        <f t="shared" si="52"/>
        <v>830</v>
      </c>
      <c r="B831" s="24">
        <v>43211</v>
      </c>
      <c r="C831" s="18" t="str">
        <f t="shared" si="49"/>
        <v>Saturday</v>
      </c>
      <c r="D831" s="10" t="str">
        <f t="shared" si="50"/>
        <v>Different</v>
      </c>
      <c r="E831" s="2">
        <v>31.07</v>
      </c>
      <c r="F831" s="2">
        <v>4</v>
      </c>
      <c r="G831" s="1">
        <f t="shared" si="51"/>
        <v>0.12874155133569359</v>
      </c>
      <c r="H831" s="2">
        <v>1.5</v>
      </c>
      <c r="I831" s="26">
        <v>0.71250000000000002</v>
      </c>
      <c r="J831" s="26">
        <v>0.73402777777777783</v>
      </c>
      <c r="K831" s="27">
        <f>Table3[[#This Row],[Delivery Time]]-Table3[[#This Row],[Order Time]]</f>
        <v>2.1527777777777812E-2</v>
      </c>
      <c r="L831" s="43">
        <v>31.000000000000004</v>
      </c>
      <c r="M831" s="25" t="s">
        <v>11</v>
      </c>
      <c r="N831" s="28"/>
      <c r="O831" s="28" t="s">
        <v>39</v>
      </c>
      <c r="P831" s="25" t="s">
        <v>20</v>
      </c>
    </row>
    <row r="832" spans="1:16" x14ac:dyDescent="0.25">
      <c r="A832" s="23">
        <f t="shared" si="52"/>
        <v>831</v>
      </c>
      <c r="B832" s="24">
        <v>43211</v>
      </c>
      <c r="C832" s="18" t="str">
        <f t="shared" si="49"/>
        <v>Saturday</v>
      </c>
      <c r="D832" s="10" t="str">
        <f t="shared" si="50"/>
        <v>Same</v>
      </c>
      <c r="E832" s="2">
        <v>35.4</v>
      </c>
      <c r="F832" s="2">
        <v>2</v>
      </c>
      <c r="G832" s="1">
        <f t="shared" si="51"/>
        <v>5.6497175141242938E-2</v>
      </c>
      <c r="H832" s="2">
        <v>1.5</v>
      </c>
      <c r="I832" s="26">
        <v>0.74722222222222223</v>
      </c>
      <c r="J832" s="26">
        <v>0.76736111111111116</v>
      </c>
      <c r="K832" s="27">
        <f>Table3[[#This Row],[Delivery Time]]-Table3[[#This Row],[Order Time]]</f>
        <v>2.0138888888888928E-2</v>
      </c>
      <c r="L832" s="43">
        <v>29.000000000000004</v>
      </c>
      <c r="M832" s="25" t="s">
        <v>0</v>
      </c>
      <c r="N832" s="28"/>
      <c r="O832" s="28" t="s">
        <v>39</v>
      </c>
      <c r="P832" s="25" t="s">
        <v>20</v>
      </c>
    </row>
    <row r="833" spans="1:16" x14ac:dyDescent="0.25">
      <c r="A833" s="23">
        <f t="shared" si="52"/>
        <v>832</v>
      </c>
      <c r="B833" s="24">
        <v>43211</v>
      </c>
      <c r="C833" s="18" t="str">
        <f t="shared" si="49"/>
        <v>Saturday</v>
      </c>
      <c r="D833" s="10" t="str">
        <f t="shared" si="50"/>
        <v>Same</v>
      </c>
      <c r="E833" s="2">
        <v>27.6</v>
      </c>
      <c r="F833" s="2">
        <v>5</v>
      </c>
      <c r="G833" s="1">
        <f t="shared" si="51"/>
        <v>0.18115942028985507</v>
      </c>
      <c r="H833" s="2">
        <v>1.5</v>
      </c>
      <c r="I833" s="26">
        <v>0.78125</v>
      </c>
      <c r="J833" s="26">
        <v>0.80694444444444446</v>
      </c>
      <c r="K833" s="27">
        <f>Table3[[#This Row],[Delivery Time]]-Table3[[#This Row],[Order Time]]</f>
        <v>2.5694444444444464E-2</v>
      </c>
      <c r="L833" s="43">
        <v>37</v>
      </c>
      <c r="M833" s="25" t="s">
        <v>11</v>
      </c>
      <c r="N833" s="28"/>
      <c r="O833" s="28" t="s">
        <v>39</v>
      </c>
      <c r="P833" s="25" t="s">
        <v>20</v>
      </c>
    </row>
    <row r="834" spans="1:16" x14ac:dyDescent="0.25">
      <c r="A834" s="23">
        <f t="shared" si="52"/>
        <v>833</v>
      </c>
      <c r="B834" s="24">
        <v>43211</v>
      </c>
      <c r="C834" s="18" t="str">
        <f t="shared" si="49"/>
        <v>Saturday</v>
      </c>
      <c r="D834" s="10" t="str">
        <f t="shared" si="50"/>
        <v>Same</v>
      </c>
      <c r="E834" s="2">
        <v>44.92</v>
      </c>
      <c r="F834" s="2">
        <v>10</v>
      </c>
      <c r="G834" s="1">
        <f t="shared" si="51"/>
        <v>0.22261798753339268</v>
      </c>
      <c r="H834" s="2">
        <v>5</v>
      </c>
      <c r="I834" s="26">
        <v>0.78194444444444444</v>
      </c>
      <c r="J834" s="26">
        <v>0.81874999999999998</v>
      </c>
      <c r="K834" s="27">
        <f>Table3[[#This Row],[Delivery Time]]-Table3[[#This Row],[Order Time]]</f>
        <v>3.6805555555555536E-2</v>
      </c>
      <c r="L834" s="43">
        <v>53</v>
      </c>
      <c r="M834" s="25" t="s">
        <v>11</v>
      </c>
      <c r="N834" s="28"/>
      <c r="O834" s="28" t="s">
        <v>39</v>
      </c>
      <c r="P834" s="25" t="s">
        <v>20</v>
      </c>
    </row>
    <row r="835" spans="1:16" x14ac:dyDescent="0.25">
      <c r="A835" s="23">
        <f t="shared" si="52"/>
        <v>834</v>
      </c>
      <c r="B835" s="24">
        <v>43211</v>
      </c>
      <c r="C835" s="18" t="str">
        <f t="shared" si="49"/>
        <v>Saturday</v>
      </c>
      <c r="D835" s="10" t="str">
        <f t="shared" si="50"/>
        <v>Same</v>
      </c>
      <c r="E835" s="2">
        <v>14.88</v>
      </c>
      <c r="F835" s="2">
        <v>1</v>
      </c>
      <c r="G835" s="1">
        <f t="shared" si="51"/>
        <v>6.7204301075268813E-2</v>
      </c>
      <c r="H835" s="2">
        <v>1.5</v>
      </c>
      <c r="I835" s="26">
        <v>0.7895833333333333</v>
      </c>
      <c r="J835" s="26">
        <v>0.82638888888888884</v>
      </c>
      <c r="K835" s="27">
        <f>Table3[[#This Row],[Delivery Time]]-Table3[[#This Row],[Order Time]]</f>
        <v>3.6805555555555536E-2</v>
      </c>
      <c r="L835" s="43">
        <v>53</v>
      </c>
      <c r="M835" s="25" t="s">
        <v>11</v>
      </c>
      <c r="N835" s="28"/>
      <c r="O835" s="28" t="s">
        <v>39</v>
      </c>
      <c r="P835" s="25" t="s">
        <v>20</v>
      </c>
    </row>
    <row r="836" spans="1:16" x14ac:dyDescent="0.25">
      <c r="A836" s="23">
        <f t="shared" si="52"/>
        <v>835</v>
      </c>
      <c r="B836" s="24">
        <v>43211</v>
      </c>
      <c r="C836" s="18" t="str">
        <f t="shared" si="49"/>
        <v>Saturday</v>
      </c>
      <c r="D836" s="10" t="str">
        <f t="shared" si="50"/>
        <v>Same</v>
      </c>
      <c r="E836" s="2">
        <v>56.99</v>
      </c>
      <c r="F836" s="2">
        <v>13.01</v>
      </c>
      <c r="G836" s="1">
        <f t="shared" si="51"/>
        <v>0.22828566415160553</v>
      </c>
      <c r="H836" s="2">
        <v>1.5</v>
      </c>
      <c r="I836" s="26">
        <v>0.84375</v>
      </c>
      <c r="J836" s="26">
        <v>0.86249999999999993</v>
      </c>
      <c r="K836" s="27">
        <f>Table3[[#This Row],[Delivery Time]]-Table3[[#This Row],[Order Time]]</f>
        <v>1.8749999999999933E-2</v>
      </c>
      <c r="L836" s="43">
        <v>26.999999999999996</v>
      </c>
      <c r="M836" s="25" t="s">
        <v>0</v>
      </c>
      <c r="N836" s="28" t="s">
        <v>22</v>
      </c>
      <c r="O836" s="28" t="s">
        <v>39</v>
      </c>
      <c r="P836" s="25" t="s">
        <v>20</v>
      </c>
    </row>
    <row r="837" spans="1:16" x14ac:dyDescent="0.25">
      <c r="A837" s="23">
        <f t="shared" si="52"/>
        <v>836</v>
      </c>
      <c r="B837" s="24">
        <v>43211</v>
      </c>
      <c r="C837" s="18" t="str">
        <f t="shared" si="49"/>
        <v>Saturday</v>
      </c>
      <c r="D837" s="10" t="str">
        <f t="shared" si="50"/>
        <v>Same</v>
      </c>
      <c r="E837" s="2">
        <v>39.46</v>
      </c>
      <c r="F837" s="2">
        <v>13</v>
      </c>
      <c r="G837" s="1">
        <f t="shared" si="51"/>
        <v>0.3294475418144957</v>
      </c>
      <c r="H837" s="2">
        <v>1.5</v>
      </c>
      <c r="I837" s="26">
        <v>0.83472222222222225</v>
      </c>
      <c r="J837" s="26">
        <v>0.8666666666666667</v>
      </c>
      <c r="K837" s="27">
        <f>Table3[[#This Row],[Delivery Time]]-Table3[[#This Row],[Order Time]]</f>
        <v>3.1944444444444442E-2</v>
      </c>
      <c r="L837" s="43">
        <v>46.000000000000007</v>
      </c>
      <c r="M837" s="25" t="s">
        <v>0</v>
      </c>
      <c r="N837" s="28" t="s">
        <v>22</v>
      </c>
      <c r="O837" s="28" t="s">
        <v>39</v>
      </c>
      <c r="P837" s="25" t="s">
        <v>20</v>
      </c>
    </row>
    <row r="838" spans="1:16" x14ac:dyDescent="0.25">
      <c r="A838" s="23">
        <f t="shared" si="52"/>
        <v>837</v>
      </c>
      <c r="B838" s="24">
        <v>43211</v>
      </c>
      <c r="C838" s="18" t="str">
        <f t="shared" ref="C838:C901" si="53">TEXT(B838,"dddd")</f>
        <v>Saturday</v>
      </c>
      <c r="D838" s="10" t="str">
        <f t="shared" ref="D838:D901" si="54">IF(B837=B838, "Same", "Different")</f>
        <v>Same</v>
      </c>
      <c r="E838" s="2">
        <v>31.93</v>
      </c>
      <c r="F838" s="2">
        <v>6</v>
      </c>
      <c r="G838" s="1">
        <f t="shared" ref="G838:G901" si="55">F838/E838</f>
        <v>0.18791105543376135</v>
      </c>
      <c r="H838" s="2">
        <v>5</v>
      </c>
      <c r="I838" s="26">
        <v>0.83819444444444446</v>
      </c>
      <c r="J838" s="26">
        <v>0.87638888888888899</v>
      </c>
      <c r="K838" s="27">
        <f>Table3[[#This Row],[Delivery Time]]-Table3[[#This Row],[Order Time]]</f>
        <v>3.8194444444444531E-2</v>
      </c>
      <c r="L838" s="43">
        <v>54.999999999999993</v>
      </c>
      <c r="M838" s="25" t="s">
        <v>0</v>
      </c>
      <c r="N838" s="28"/>
      <c r="O838" s="28" t="s">
        <v>39</v>
      </c>
      <c r="P838" s="25" t="s">
        <v>20</v>
      </c>
    </row>
    <row r="839" spans="1:16" x14ac:dyDescent="0.25">
      <c r="A839" s="23">
        <f t="shared" si="52"/>
        <v>838</v>
      </c>
      <c r="B839" s="24">
        <v>43211</v>
      </c>
      <c r="C839" s="18" t="str">
        <f t="shared" si="53"/>
        <v>Saturday</v>
      </c>
      <c r="D839" s="10" t="str">
        <f t="shared" si="54"/>
        <v>Same</v>
      </c>
      <c r="E839" s="2">
        <v>38.369999999999997</v>
      </c>
      <c r="F839" s="2">
        <v>6</v>
      </c>
      <c r="G839" s="1">
        <f t="shared" si="55"/>
        <v>0.15637216575449572</v>
      </c>
      <c r="H839" s="2">
        <v>5</v>
      </c>
      <c r="I839" s="26">
        <v>0.84722222222222221</v>
      </c>
      <c r="J839" s="26">
        <v>0.88402777777777775</v>
      </c>
      <c r="K839" s="27">
        <f>Table3[[#This Row],[Delivery Time]]-Table3[[#This Row],[Order Time]]</f>
        <v>3.6805555555555536E-2</v>
      </c>
      <c r="L839" s="43">
        <v>53</v>
      </c>
      <c r="M839" s="25" t="s">
        <v>0</v>
      </c>
      <c r="N839" s="28"/>
      <c r="O839" s="28" t="s">
        <v>39</v>
      </c>
      <c r="P839" s="25" t="s">
        <v>20</v>
      </c>
    </row>
    <row r="840" spans="1:16" x14ac:dyDescent="0.25">
      <c r="A840" s="23">
        <f t="shared" si="52"/>
        <v>839</v>
      </c>
      <c r="B840" s="24">
        <v>43212</v>
      </c>
      <c r="C840" s="18" t="str">
        <f t="shared" si="53"/>
        <v>Sunday</v>
      </c>
      <c r="D840" s="10" t="str">
        <f t="shared" si="54"/>
        <v>Different</v>
      </c>
      <c r="E840" s="2">
        <v>30.85</v>
      </c>
      <c r="F840" s="2">
        <v>4</v>
      </c>
      <c r="G840" s="1">
        <f t="shared" si="55"/>
        <v>0.12965964343598055</v>
      </c>
      <c r="H840" s="2">
        <v>1.5</v>
      </c>
      <c r="I840" s="26">
        <v>0.69305555555555554</v>
      </c>
      <c r="J840" s="26">
        <v>0.71388888888888891</v>
      </c>
      <c r="K840" s="27">
        <f>Table3[[#This Row],[Delivery Time]]-Table3[[#This Row],[Order Time]]</f>
        <v>2.083333333333337E-2</v>
      </c>
      <c r="L840" s="43">
        <v>30</v>
      </c>
      <c r="M840" s="25" t="s">
        <v>11</v>
      </c>
      <c r="N840" s="28"/>
      <c r="O840" s="28" t="s">
        <v>41</v>
      </c>
      <c r="P840" s="25" t="s">
        <v>20</v>
      </c>
    </row>
    <row r="841" spans="1:16" x14ac:dyDescent="0.25">
      <c r="A841" s="23">
        <f t="shared" si="52"/>
        <v>840</v>
      </c>
      <c r="B841" s="24">
        <v>43212</v>
      </c>
      <c r="C841" s="18" t="str">
        <f t="shared" si="53"/>
        <v>Sunday</v>
      </c>
      <c r="D841" s="10" t="str">
        <f t="shared" si="54"/>
        <v>Same</v>
      </c>
      <c r="E841" s="2">
        <v>17</v>
      </c>
      <c r="F841" s="2">
        <v>7</v>
      </c>
      <c r="G841" s="1">
        <f t="shared" si="55"/>
        <v>0.41176470588235292</v>
      </c>
      <c r="H841" s="2">
        <v>1.5</v>
      </c>
      <c r="I841" s="26">
        <v>0.71458333333333324</v>
      </c>
      <c r="J841" s="26">
        <v>0.73402777777777783</v>
      </c>
      <c r="K841" s="27">
        <f>Table3[[#This Row],[Delivery Time]]-Table3[[#This Row],[Order Time]]</f>
        <v>1.9444444444444597E-2</v>
      </c>
      <c r="L841" s="43">
        <v>28</v>
      </c>
      <c r="M841" s="25" t="s">
        <v>0</v>
      </c>
      <c r="N841" s="28"/>
      <c r="O841" s="28" t="s">
        <v>39</v>
      </c>
      <c r="P841" s="25" t="s">
        <v>20</v>
      </c>
    </row>
    <row r="842" spans="1:16" x14ac:dyDescent="0.25">
      <c r="A842" s="23">
        <f t="shared" si="52"/>
        <v>841</v>
      </c>
      <c r="B842" s="24">
        <v>43212</v>
      </c>
      <c r="C842" s="18" t="str">
        <f t="shared" si="53"/>
        <v>Sunday</v>
      </c>
      <c r="D842" s="10" t="str">
        <f t="shared" si="54"/>
        <v>Same</v>
      </c>
      <c r="E842" s="2">
        <v>37.020000000000003</v>
      </c>
      <c r="F842" s="2">
        <v>6</v>
      </c>
      <c r="G842" s="1">
        <f t="shared" si="55"/>
        <v>0.16207455429497566</v>
      </c>
      <c r="H842" s="2">
        <v>1.5</v>
      </c>
      <c r="I842" s="26">
        <v>0.75694444444444453</v>
      </c>
      <c r="J842" s="26">
        <v>0.77847222222222223</v>
      </c>
      <c r="K842" s="27">
        <f>Table3[[#This Row],[Delivery Time]]-Table3[[#This Row],[Order Time]]</f>
        <v>2.1527777777777701E-2</v>
      </c>
      <c r="L842" s="43">
        <v>31.000000000000004</v>
      </c>
      <c r="M842" s="25" t="s">
        <v>11</v>
      </c>
      <c r="N842" s="28"/>
      <c r="O842" s="28" t="s">
        <v>41</v>
      </c>
      <c r="P842" s="25" t="s">
        <v>20</v>
      </c>
    </row>
    <row r="843" spans="1:16" x14ac:dyDescent="0.25">
      <c r="A843" s="23">
        <f t="shared" si="52"/>
        <v>842</v>
      </c>
      <c r="B843" s="24">
        <v>43212</v>
      </c>
      <c r="C843" s="18" t="str">
        <f t="shared" si="53"/>
        <v>Sunday</v>
      </c>
      <c r="D843" s="10" t="str">
        <f t="shared" si="54"/>
        <v>Same</v>
      </c>
      <c r="E843" s="2">
        <v>44</v>
      </c>
      <c r="F843" s="2">
        <v>7</v>
      </c>
      <c r="G843" s="1">
        <f t="shared" si="55"/>
        <v>0.15909090909090909</v>
      </c>
      <c r="H843" s="2">
        <v>1.5</v>
      </c>
      <c r="I843" s="26">
        <v>0.75902777777777775</v>
      </c>
      <c r="J843" s="26">
        <v>0.78680555555555554</v>
      </c>
      <c r="K843" s="27">
        <f>Table3[[#This Row],[Delivery Time]]-Table3[[#This Row],[Order Time]]</f>
        <v>2.777777777777779E-2</v>
      </c>
      <c r="L843" s="43">
        <v>40</v>
      </c>
      <c r="M843" s="25" t="s">
        <v>11</v>
      </c>
      <c r="N843" s="28"/>
      <c r="O843" s="28" t="s">
        <v>39</v>
      </c>
      <c r="P843" s="25" t="s">
        <v>20</v>
      </c>
    </row>
    <row r="844" spans="1:16" x14ac:dyDescent="0.25">
      <c r="A844" s="23">
        <f t="shared" si="52"/>
        <v>843</v>
      </c>
      <c r="B844" s="24">
        <v>43212</v>
      </c>
      <c r="C844" s="18" t="str">
        <f t="shared" si="53"/>
        <v>Sunday</v>
      </c>
      <c r="D844" s="10" t="str">
        <f t="shared" si="54"/>
        <v>Same</v>
      </c>
      <c r="E844" s="2">
        <v>35.72</v>
      </c>
      <c r="F844" s="2">
        <v>4</v>
      </c>
      <c r="G844" s="1">
        <f t="shared" si="55"/>
        <v>0.11198208286674133</v>
      </c>
      <c r="H844" s="2">
        <v>1.5</v>
      </c>
      <c r="I844" s="26">
        <v>0.80347222222222225</v>
      </c>
      <c r="J844" s="26">
        <v>0.82361111111111107</v>
      </c>
      <c r="K844" s="27">
        <f>Table3[[#This Row],[Delivery Time]]-Table3[[#This Row],[Order Time]]</f>
        <v>2.0138888888888817E-2</v>
      </c>
      <c r="L844" s="43">
        <v>29.000000000000004</v>
      </c>
      <c r="M844" s="25" t="s">
        <v>11</v>
      </c>
      <c r="N844" s="28"/>
      <c r="O844" s="28" t="s">
        <v>39</v>
      </c>
      <c r="P844" s="25" t="s">
        <v>20</v>
      </c>
    </row>
    <row r="845" spans="1:16" x14ac:dyDescent="0.25">
      <c r="A845" s="23">
        <f t="shared" si="52"/>
        <v>844</v>
      </c>
      <c r="B845" s="24">
        <v>43212</v>
      </c>
      <c r="C845" s="18" t="str">
        <f t="shared" si="53"/>
        <v>Sunday</v>
      </c>
      <c r="D845" s="10" t="str">
        <f t="shared" si="54"/>
        <v>Same</v>
      </c>
      <c r="E845" s="2">
        <v>31.92</v>
      </c>
      <c r="F845" s="2">
        <v>8</v>
      </c>
      <c r="G845" s="1">
        <f t="shared" si="55"/>
        <v>0.25062656641604009</v>
      </c>
      <c r="H845" s="2">
        <v>1.5</v>
      </c>
      <c r="I845" s="26">
        <v>0.79999999999999993</v>
      </c>
      <c r="J845" s="26">
        <v>0.83611111111111114</v>
      </c>
      <c r="K845" s="27">
        <f>Table3[[#This Row],[Delivery Time]]-Table3[[#This Row],[Order Time]]</f>
        <v>3.6111111111111205E-2</v>
      </c>
      <c r="L845" s="43">
        <v>52</v>
      </c>
      <c r="M845" s="25" t="s">
        <v>11</v>
      </c>
      <c r="N845" s="28"/>
      <c r="O845" s="28" t="s">
        <v>41</v>
      </c>
      <c r="P845" s="25" t="s">
        <v>20</v>
      </c>
    </row>
    <row r="846" spans="1:16" x14ac:dyDescent="0.25">
      <c r="A846" s="23">
        <f t="shared" si="52"/>
        <v>845</v>
      </c>
      <c r="B846" s="24">
        <v>43212</v>
      </c>
      <c r="C846" s="18" t="str">
        <f t="shared" si="53"/>
        <v>Sunday</v>
      </c>
      <c r="D846" s="10" t="str">
        <f t="shared" si="54"/>
        <v>Same</v>
      </c>
      <c r="E846" s="2">
        <v>20.03</v>
      </c>
      <c r="F846" s="2">
        <v>7.97</v>
      </c>
      <c r="G846" s="1">
        <f t="shared" si="55"/>
        <v>0.39790314528207688</v>
      </c>
      <c r="H846" s="2">
        <v>1.5</v>
      </c>
      <c r="I846" s="26">
        <v>0.82847222222222217</v>
      </c>
      <c r="J846" s="26">
        <v>0.85763888888888884</v>
      </c>
      <c r="K846" s="27">
        <f>Table3[[#This Row],[Delivery Time]]-Table3[[#This Row],[Order Time]]</f>
        <v>2.9166666666666674E-2</v>
      </c>
      <c r="L846" s="43">
        <v>42</v>
      </c>
      <c r="M846" s="25" t="s">
        <v>0</v>
      </c>
      <c r="N846" s="28"/>
      <c r="O846" s="28" t="s">
        <v>40</v>
      </c>
      <c r="P846" s="25" t="s">
        <v>20</v>
      </c>
    </row>
    <row r="847" spans="1:16" x14ac:dyDescent="0.25">
      <c r="A847" s="23">
        <f t="shared" si="52"/>
        <v>846</v>
      </c>
      <c r="B847" s="24">
        <v>43212</v>
      </c>
      <c r="C847" s="18" t="str">
        <f t="shared" si="53"/>
        <v>Sunday</v>
      </c>
      <c r="D847" s="10" t="str">
        <f t="shared" si="54"/>
        <v>Same</v>
      </c>
      <c r="E847" s="2">
        <v>53.31</v>
      </c>
      <c r="F847" s="2">
        <v>1.69</v>
      </c>
      <c r="G847" s="1">
        <f t="shared" si="55"/>
        <v>3.1701369349090222E-2</v>
      </c>
      <c r="H847" s="2">
        <v>1.5</v>
      </c>
      <c r="I847" s="26">
        <v>0.82777777777777783</v>
      </c>
      <c r="J847" s="26">
        <v>0.85763888888888884</v>
      </c>
      <c r="K847" s="27">
        <f>Table3[[#This Row],[Delivery Time]]-Table3[[#This Row],[Order Time]]</f>
        <v>2.9861111111111005E-2</v>
      </c>
      <c r="L847" s="43">
        <v>43</v>
      </c>
      <c r="M847" s="25" t="s">
        <v>0</v>
      </c>
      <c r="N847" s="28"/>
      <c r="O847" s="28" t="s">
        <v>40</v>
      </c>
      <c r="P847" s="25" t="s">
        <v>20</v>
      </c>
    </row>
    <row r="848" spans="1:16" x14ac:dyDescent="0.25">
      <c r="A848" s="23">
        <f t="shared" si="52"/>
        <v>847</v>
      </c>
      <c r="B848" s="24">
        <v>43212</v>
      </c>
      <c r="C848" s="18" t="str">
        <f t="shared" si="53"/>
        <v>Sunday</v>
      </c>
      <c r="D848" s="10" t="str">
        <f t="shared" si="54"/>
        <v>Same</v>
      </c>
      <c r="E848" s="2">
        <v>16.78</v>
      </c>
      <c r="F848" s="2">
        <v>3</v>
      </c>
      <c r="G848" s="1">
        <f t="shared" si="55"/>
        <v>0.17878426698450536</v>
      </c>
      <c r="H848" s="2">
        <v>1.5</v>
      </c>
      <c r="I848" s="26">
        <v>0.82916666666666661</v>
      </c>
      <c r="J848" s="26">
        <v>0.85763888888888884</v>
      </c>
      <c r="K848" s="27">
        <f>Table3[[#This Row],[Delivery Time]]-Table3[[#This Row],[Order Time]]</f>
        <v>2.8472222222222232E-2</v>
      </c>
      <c r="L848" s="43">
        <v>41</v>
      </c>
      <c r="M848" s="25" t="s">
        <v>0</v>
      </c>
      <c r="N848" s="28"/>
      <c r="O848" s="28" t="s">
        <v>40</v>
      </c>
      <c r="P848" s="25" t="s">
        <v>20</v>
      </c>
    </row>
    <row r="849" spans="1:16" x14ac:dyDescent="0.25">
      <c r="A849" s="23">
        <f t="shared" si="52"/>
        <v>848</v>
      </c>
      <c r="B849" s="24">
        <v>43212</v>
      </c>
      <c r="C849" s="18" t="str">
        <f t="shared" si="53"/>
        <v>Sunday</v>
      </c>
      <c r="D849" s="10" t="str">
        <f t="shared" si="54"/>
        <v>Same</v>
      </c>
      <c r="E849" s="2">
        <v>49.42</v>
      </c>
      <c r="F849" s="2">
        <v>4</v>
      </c>
      <c r="G849" s="1">
        <f t="shared" si="55"/>
        <v>8.0938891137191424E-2</v>
      </c>
      <c r="H849" s="2">
        <v>1.5</v>
      </c>
      <c r="I849" s="26">
        <v>0.8305555555555556</v>
      </c>
      <c r="J849" s="26">
        <v>0.86458333333333337</v>
      </c>
      <c r="K849" s="27">
        <f>Table3[[#This Row],[Delivery Time]]-Table3[[#This Row],[Order Time]]</f>
        <v>3.4027777777777768E-2</v>
      </c>
      <c r="L849" s="43">
        <v>49</v>
      </c>
      <c r="M849" s="25" t="s">
        <v>0</v>
      </c>
      <c r="N849" s="28"/>
      <c r="O849" s="28" t="s">
        <v>40</v>
      </c>
      <c r="P849" s="25" t="s">
        <v>20</v>
      </c>
    </row>
    <row r="850" spans="1:16" x14ac:dyDescent="0.25">
      <c r="A850" s="23">
        <f t="shared" si="52"/>
        <v>849</v>
      </c>
      <c r="B850" s="24">
        <v>43212</v>
      </c>
      <c r="C850" s="18" t="str">
        <f t="shared" si="53"/>
        <v>Sunday</v>
      </c>
      <c r="D850" s="10" t="str">
        <f t="shared" si="54"/>
        <v>Same</v>
      </c>
      <c r="E850" s="2">
        <v>25.93</v>
      </c>
      <c r="F850" s="2">
        <v>5</v>
      </c>
      <c r="G850" s="1">
        <f t="shared" si="55"/>
        <v>0.1928268414963363</v>
      </c>
      <c r="H850" s="2">
        <v>1.5</v>
      </c>
      <c r="I850" s="26">
        <v>0.83958333333333324</v>
      </c>
      <c r="J850" s="26">
        <v>0.87708333333333333</v>
      </c>
      <c r="K850" s="27">
        <f>Table3[[#This Row],[Delivery Time]]-Table3[[#This Row],[Order Time]]</f>
        <v>3.7500000000000089E-2</v>
      </c>
      <c r="L850" s="43">
        <v>53.999999999999993</v>
      </c>
      <c r="M850" s="25" t="s">
        <v>0</v>
      </c>
      <c r="N850" s="28"/>
      <c r="O850" s="28" t="s">
        <v>39</v>
      </c>
      <c r="P850" s="25" t="s">
        <v>20</v>
      </c>
    </row>
    <row r="851" spans="1:16" x14ac:dyDescent="0.25">
      <c r="A851" s="23">
        <f t="shared" si="52"/>
        <v>850</v>
      </c>
      <c r="B851" s="24">
        <v>43218</v>
      </c>
      <c r="C851" s="18" t="str">
        <f t="shared" si="53"/>
        <v>Saturday</v>
      </c>
      <c r="D851" s="10" t="str">
        <f t="shared" si="54"/>
        <v>Different</v>
      </c>
      <c r="E851" s="2">
        <v>40.54</v>
      </c>
      <c r="F851" s="2">
        <v>5</v>
      </c>
      <c r="G851" s="1">
        <f t="shared" si="55"/>
        <v>0.123334977799704</v>
      </c>
      <c r="H851" s="2">
        <v>1.5</v>
      </c>
      <c r="I851" s="26">
        <v>0.71180555555555547</v>
      </c>
      <c r="J851" s="26">
        <v>0.72986111111111107</v>
      </c>
      <c r="K851" s="27">
        <f>Table3[[#This Row],[Delivery Time]]-Table3[[#This Row],[Order Time]]</f>
        <v>1.8055555555555602E-2</v>
      </c>
      <c r="L851" s="43">
        <v>26</v>
      </c>
      <c r="M851" s="25" t="s">
        <v>11</v>
      </c>
      <c r="N851" s="28"/>
      <c r="O851" s="28" t="s">
        <v>39</v>
      </c>
      <c r="P851" s="25" t="s">
        <v>20</v>
      </c>
    </row>
    <row r="852" spans="1:16" x14ac:dyDescent="0.25">
      <c r="A852" s="23">
        <f t="shared" si="52"/>
        <v>851</v>
      </c>
      <c r="B852" s="24">
        <v>43218</v>
      </c>
      <c r="C852" s="18" t="str">
        <f t="shared" si="53"/>
        <v>Saturday</v>
      </c>
      <c r="D852" s="10" t="str">
        <f t="shared" si="54"/>
        <v>Same</v>
      </c>
      <c r="E852" s="2">
        <v>85.4</v>
      </c>
      <c r="F852" s="2">
        <v>10</v>
      </c>
      <c r="G852" s="1">
        <f t="shared" si="55"/>
        <v>0.11709601873536299</v>
      </c>
      <c r="H852" s="2">
        <v>1.5</v>
      </c>
      <c r="I852" s="26">
        <v>0.76527777777777783</v>
      </c>
      <c r="J852" s="26">
        <v>0.78888888888888886</v>
      </c>
      <c r="K852" s="27">
        <f>Table3[[#This Row],[Delivery Time]]-Table3[[#This Row],[Order Time]]</f>
        <v>2.3611111111111027E-2</v>
      </c>
      <c r="L852" s="43">
        <v>34</v>
      </c>
      <c r="M852" s="25" t="s">
        <v>11</v>
      </c>
      <c r="N852" s="28"/>
      <c r="O852" s="28" t="s">
        <v>39</v>
      </c>
      <c r="P852" s="25" t="s">
        <v>20</v>
      </c>
    </row>
    <row r="853" spans="1:16" x14ac:dyDescent="0.25">
      <c r="A853" s="23">
        <f t="shared" si="52"/>
        <v>852</v>
      </c>
      <c r="B853" s="24">
        <v>43218</v>
      </c>
      <c r="C853" s="18" t="str">
        <f t="shared" si="53"/>
        <v>Saturday</v>
      </c>
      <c r="D853" s="10" t="str">
        <f t="shared" si="54"/>
        <v>Same</v>
      </c>
      <c r="E853" s="2">
        <v>98.13</v>
      </c>
      <c r="F853" s="2">
        <v>18</v>
      </c>
      <c r="G853" s="1">
        <f t="shared" si="55"/>
        <v>0.18343014368694591</v>
      </c>
      <c r="H853" s="2">
        <v>1.5</v>
      </c>
      <c r="I853" s="26">
        <v>0.7680555555555556</v>
      </c>
      <c r="J853" s="26">
        <v>0.79236111111111107</v>
      </c>
      <c r="K853" s="27">
        <f>Table3[[#This Row],[Delivery Time]]-Table3[[#This Row],[Order Time]]</f>
        <v>2.4305555555555469E-2</v>
      </c>
      <c r="L853" s="43">
        <v>35</v>
      </c>
      <c r="M853" s="25" t="s">
        <v>11</v>
      </c>
      <c r="N853" s="28"/>
      <c r="O853" s="28" t="s">
        <v>39</v>
      </c>
      <c r="P853" s="25" t="s">
        <v>20</v>
      </c>
    </row>
    <row r="854" spans="1:16" x14ac:dyDescent="0.25">
      <c r="A854" s="23">
        <f t="shared" si="52"/>
        <v>853</v>
      </c>
      <c r="B854" s="24">
        <v>43218</v>
      </c>
      <c r="C854" s="18" t="str">
        <f t="shared" si="53"/>
        <v>Saturday</v>
      </c>
      <c r="D854" s="10" t="str">
        <f t="shared" si="54"/>
        <v>Same</v>
      </c>
      <c r="E854" s="2">
        <v>15.7</v>
      </c>
      <c r="F854" s="2">
        <v>4.3</v>
      </c>
      <c r="G854" s="1">
        <f t="shared" si="55"/>
        <v>0.27388535031847133</v>
      </c>
      <c r="H854" s="2">
        <v>1.5</v>
      </c>
      <c r="I854" s="26">
        <v>0.78263888888888899</v>
      </c>
      <c r="J854" s="26">
        <v>0.8125</v>
      </c>
      <c r="K854" s="27">
        <f>Table3[[#This Row],[Delivery Time]]-Table3[[#This Row],[Order Time]]</f>
        <v>2.9861111111111005E-2</v>
      </c>
      <c r="L854" s="43">
        <v>43</v>
      </c>
      <c r="M854" s="25" t="s">
        <v>0</v>
      </c>
      <c r="N854" s="28"/>
      <c r="O854" s="28" t="s">
        <v>39</v>
      </c>
      <c r="P854" s="25" t="s">
        <v>20</v>
      </c>
    </row>
    <row r="855" spans="1:16" x14ac:dyDescent="0.25">
      <c r="A855" s="23">
        <f t="shared" si="52"/>
        <v>854</v>
      </c>
      <c r="B855" s="24">
        <v>43218</v>
      </c>
      <c r="C855" s="18" t="str">
        <f t="shared" si="53"/>
        <v>Saturday</v>
      </c>
      <c r="D855" s="10" t="str">
        <f t="shared" si="54"/>
        <v>Same</v>
      </c>
      <c r="E855" s="2">
        <v>53.26</v>
      </c>
      <c r="F855" s="2">
        <v>10</v>
      </c>
      <c r="G855" s="1">
        <f t="shared" si="55"/>
        <v>0.1877581674802854</v>
      </c>
      <c r="H855" s="2">
        <v>1.5</v>
      </c>
      <c r="I855" s="26">
        <v>0.78333333333333333</v>
      </c>
      <c r="J855" s="26">
        <v>0.82291666666666663</v>
      </c>
      <c r="K855" s="27">
        <f>Table3[[#This Row],[Delivery Time]]-Table3[[#This Row],[Order Time]]</f>
        <v>3.9583333333333304E-2</v>
      </c>
      <c r="L855" s="43">
        <v>57</v>
      </c>
      <c r="M855" s="25" t="s">
        <v>0</v>
      </c>
      <c r="N855" s="28"/>
      <c r="O855" s="28" t="s">
        <v>39</v>
      </c>
      <c r="P855" s="25" t="s">
        <v>20</v>
      </c>
    </row>
    <row r="856" spans="1:16" x14ac:dyDescent="0.25">
      <c r="A856" s="23">
        <f t="shared" ref="A856:A919" si="56">ROW(A855)</f>
        <v>855</v>
      </c>
      <c r="B856" s="24">
        <v>43218</v>
      </c>
      <c r="C856" s="18" t="str">
        <f t="shared" si="53"/>
        <v>Saturday</v>
      </c>
      <c r="D856" s="10" t="str">
        <f t="shared" si="54"/>
        <v>Same</v>
      </c>
      <c r="E856" s="2">
        <v>22.68</v>
      </c>
      <c r="F856" s="2">
        <v>4</v>
      </c>
      <c r="G856" s="1">
        <f t="shared" si="55"/>
        <v>0.17636684303350969</v>
      </c>
      <c r="H856" s="2">
        <v>1.5</v>
      </c>
      <c r="I856" s="26">
        <v>0.82638888888888884</v>
      </c>
      <c r="J856" s="26">
        <v>0.84375</v>
      </c>
      <c r="K856" s="27">
        <f>Table3[[#This Row],[Delivery Time]]-Table3[[#This Row],[Order Time]]</f>
        <v>1.736111111111116E-2</v>
      </c>
      <c r="L856" s="43">
        <v>25</v>
      </c>
      <c r="M856" s="25" t="s">
        <v>0</v>
      </c>
      <c r="N856" s="28"/>
      <c r="O856" s="28" t="s">
        <v>39</v>
      </c>
      <c r="P856" s="25" t="s">
        <v>20</v>
      </c>
    </row>
    <row r="857" spans="1:16" x14ac:dyDescent="0.25">
      <c r="A857" s="23">
        <f t="shared" si="56"/>
        <v>856</v>
      </c>
      <c r="B857" s="24">
        <v>43218</v>
      </c>
      <c r="C857" s="18" t="str">
        <f t="shared" si="53"/>
        <v>Saturday</v>
      </c>
      <c r="D857" s="10" t="str">
        <f t="shared" si="54"/>
        <v>Same</v>
      </c>
      <c r="E857" s="2">
        <v>33.56</v>
      </c>
      <c r="F857" s="2">
        <v>3</v>
      </c>
      <c r="G857" s="1">
        <f t="shared" si="55"/>
        <v>8.9392133492252682E-2</v>
      </c>
      <c r="H857" s="2">
        <v>5</v>
      </c>
      <c r="I857" s="26">
        <v>0.83958333333333324</v>
      </c>
      <c r="J857" s="26">
        <v>0.87152777777777779</v>
      </c>
      <c r="K857" s="27">
        <f>Table3[[#This Row],[Delivery Time]]-Table3[[#This Row],[Order Time]]</f>
        <v>3.1944444444444553E-2</v>
      </c>
      <c r="L857" s="43">
        <v>46.000000000000007</v>
      </c>
      <c r="M857" s="25" t="s">
        <v>11</v>
      </c>
      <c r="N857" s="28"/>
      <c r="O857" s="28" t="s">
        <v>41</v>
      </c>
      <c r="P857" s="25" t="s">
        <v>20</v>
      </c>
    </row>
    <row r="858" spans="1:16" x14ac:dyDescent="0.25">
      <c r="A858" s="23">
        <f t="shared" si="56"/>
        <v>857</v>
      </c>
      <c r="B858" s="24">
        <v>43219</v>
      </c>
      <c r="C858" s="18" t="str">
        <f t="shared" si="53"/>
        <v>Sunday</v>
      </c>
      <c r="D858" s="10" t="str">
        <f t="shared" si="54"/>
        <v>Different</v>
      </c>
      <c r="E858" s="2">
        <v>38.369999999999997</v>
      </c>
      <c r="F858" s="2">
        <v>4</v>
      </c>
      <c r="G858" s="1">
        <f t="shared" si="55"/>
        <v>0.10424811050299713</v>
      </c>
      <c r="H858" s="2">
        <v>1.5</v>
      </c>
      <c r="I858" s="26">
        <v>0.74583333333333324</v>
      </c>
      <c r="J858" s="26">
        <v>0.76041666666666663</v>
      </c>
      <c r="K858" s="27">
        <f>Table3[[#This Row],[Delivery Time]]-Table3[[#This Row],[Order Time]]</f>
        <v>1.4583333333333393E-2</v>
      </c>
      <c r="L858" s="43">
        <v>21</v>
      </c>
      <c r="M858" s="25" t="s">
        <v>11</v>
      </c>
      <c r="N858" s="28"/>
      <c r="O858" s="28" t="s">
        <v>41</v>
      </c>
      <c r="P858" s="25" t="s">
        <v>20</v>
      </c>
    </row>
    <row r="859" spans="1:16" x14ac:dyDescent="0.25">
      <c r="A859" s="23">
        <f t="shared" si="56"/>
        <v>858</v>
      </c>
      <c r="B859" s="24">
        <v>43219</v>
      </c>
      <c r="C859" s="18" t="str">
        <f t="shared" si="53"/>
        <v>Sunday</v>
      </c>
      <c r="D859" s="10" t="str">
        <f t="shared" si="54"/>
        <v>Same</v>
      </c>
      <c r="E859" s="2">
        <v>29.17</v>
      </c>
      <c r="F859" s="2">
        <v>3</v>
      </c>
      <c r="G859" s="1">
        <f t="shared" si="55"/>
        <v>0.10284538909838875</v>
      </c>
      <c r="H859" s="2">
        <v>1.5</v>
      </c>
      <c r="I859" s="26">
        <v>0.74861111111111101</v>
      </c>
      <c r="J859" s="26">
        <v>0.77083333333333337</v>
      </c>
      <c r="K859" s="27">
        <f>Table3[[#This Row],[Delivery Time]]-Table3[[#This Row],[Order Time]]</f>
        <v>2.2222222222222365E-2</v>
      </c>
      <c r="L859" s="43">
        <v>32</v>
      </c>
      <c r="M859" s="25" t="s">
        <v>11</v>
      </c>
      <c r="N859" s="28"/>
      <c r="O859" s="28" t="s">
        <v>39</v>
      </c>
      <c r="P859" s="25" t="s">
        <v>20</v>
      </c>
    </row>
    <row r="860" spans="1:16" x14ac:dyDescent="0.25">
      <c r="A860" s="23">
        <f t="shared" si="56"/>
        <v>859</v>
      </c>
      <c r="B860" s="24">
        <v>43219</v>
      </c>
      <c r="C860" s="18" t="str">
        <f t="shared" si="53"/>
        <v>Sunday</v>
      </c>
      <c r="D860" s="10" t="str">
        <f t="shared" si="54"/>
        <v>Same</v>
      </c>
      <c r="E860" s="2">
        <v>47.79</v>
      </c>
      <c r="F860" s="2">
        <v>6</v>
      </c>
      <c r="G860" s="1">
        <f t="shared" si="55"/>
        <v>0.12554927809165098</v>
      </c>
      <c r="H860" s="2">
        <v>1.5</v>
      </c>
      <c r="I860" s="26">
        <v>0.78125</v>
      </c>
      <c r="J860" s="26">
        <v>0.81597222222222221</v>
      </c>
      <c r="K860" s="27">
        <f>Table3[[#This Row],[Delivery Time]]-Table3[[#This Row],[Order Time]]</f>
        <v>3.472222222222221E-2</v>
      </c>
      <c r="L860" s="43">
        <v>50</v>
      </c>
      <c r="M860" s="25" t="s">
        <v>11</v>
      </c>
      <c r="N860" s="28"/>
      <c r="O860" s="28" t="s">
        <v>39</v>
      </c>
      <c r="P860" s="25" t="s">
        <v>20</v>
      </c>
    </row>
    <row r="861" spans="1:16" x14ac:dyDescent="0.25">
      <c r="A861" s="23">
        <f t="shared" si="56"/>
        <v>860</v>
      </c>
      <c r="B861" s="24">
        <v>43219</v>
      </c>
      <c r="C861" s="18" t="str">
        <f t="shared" si="53"/>
        <v>Sunday</v>
      </c>
      <c r="D861" s="10" t="str">
        <f t="shared" si="54"/>
        <v>Same</v>
      </c>
      <c r="E861" s="2">
        <v>81.95</v>
      </c>
      <c r="F861" s="2">
        <v>8.0500000000000007</v>
      </c>
      <c r="G861" s="1">
        <f t="shared" si="55"/>
        <v>9.8230628431970723E-2</v>
      </c>
      <c r="H861" s="2">
        <v>5</v>
      </c>
      <c r="I861" s="26">
        <v>0.78749999999999998</v>
      </c>
      <c r="J861" s="26">
        <v>0.82916666666666661</v>
      </c>
      <c r="K861" s="27">
        <f>Table3[[#This Row],[Delivery Time]]-Table3[[#This Row],[Order Time]]</f>
        <v>4.166666666666663E-2</v>
      </c>
      <c r="L861" s="43">
        <v>60</v>
      </c>
      <c r="M861" s="25" t="s">
        <v>0</v>
      </c>
      <c r="N861" s="28"/>
      <c r="O861" s="28" t="s">
        <v>39</v>
      </c>
      <c r="P861" s="25" t="s">
        <v>20</v>
      </c>
    </row>
    <row r="862" spans="1:16" x14ac:dyDescent="0.25">
      <c r="A862" s="23">
        <f t="shared" si="56"/>
        <v>861</v>
      </c>
      <c r="B862" s="24">
        <v>43219</v>
      </c>
      <c r="C862" s="18" t="str">
        <f t="shared" si="53"/>
        <v>Sunday</v>
      </c>
      <c r="D862" s="10" t="str">
        <f t="shared" si="54"/>
        <v>Same</v>
      </c>
      <c r="E862" s="2">
        <v>51.04</v>
      </c>
      <c r="F862" s="2">
        <v>12</v>
      </c>
      <c r="G862" s="1">
        <f t="shared" si="55"/>
        <v>0.23510971786833856</v>
      </c>
      <c r="H862" s="2">
        <v>5</v>
      </c>
      <c r="I862" s="26">
        <v>0.79236111111111107</v>
      </c>
      <c r="J862" s="26">
        <v>0.83958333333333324</v>
      </c>
      <c r="K862" s="27">
        <f>Table3[[#This Row],[Delivery Time]]-Table3[[#This Row],[Order Time]]</f>
        <v>4.7222222222222165E-2</v>
      </c>
      <c r="L862" s="43">
        <v>68</v>
      </c>
      <c r="M862" s="25" t="s">
        <v>0</v>
      </c>
      <c r="N862" s="28"/>
      <c r="O862" s="28" t="s">
        <v>39</v>
      </c>
      <c r="P862" s="25" t="s">
        <v>20</v>
      </c>
    </row>
    <row r="863" spans="1:16" x14ac:dyDescent="0.25">
      <c r="A863" s="23">
        <f t="shared" si="56"/>
        <v>862</v>
      </c>
      <c r="B863" s="24">
        <v>43224</v>
      </c>
      <c r="C863" s="18" t="str">
        <f t="shared" si="53"/>
        <v>Friday</v>
      </c>
      <c r="D863" s="10" t="str">
        <f t="shared" si="54"/>
        <v>Different</v>
      </c>
      <c r="E863" s="2">
        <v>32.42</v>
      </c>
      <c r="F863" s="2">
        <v>8</v>
      </c>
      <c r="G863" s="1">
        <f t="shared" si="55"/>
        <v>0.24676125848241826</v>
      </c>
      <c r="H863" s="2">
        <v>1.5</v>
      </c>
      <c r="I863" s="26">
        <v>0.74097222222222225</v>
      </c>
      <c r="J863" s="26">
        <v>0.77777777777777779</v>
      </c>
      <c r="K863" s="27">
        <f>Table3[[#This Row],[Delivery Time]]-Table3[[#This Row],[Order Time]]</f>
        <v>3.6805555555555536E-2</v>
      </c>
      <c r="L863" s="43">
        <v>53</v>
      </c>
      <c r="M863" s="25" t="s">
        <v>0</v>
      </c>
      <c r="N863" s="28"/>
      <c r="O863" s="28" t="s">
        <v>39</v>
      </c>
      <c r="P863" s="25" t="s">
        <v>20</v>
      </c>
    </row>
    <row r="864" spans="1:16" x14ac:dyDescent="0.25">
      <c r="A864" s="23">
        <f t="shared" si="56"/>
        <v>863</v>
      </c>
      <c r="B864" s="24">
        <v>43224</v>
      </c>
      <c r="C864" s="18" t="str">
        <f t="shared" si="53"/>
        <v>Friday</v>
      </c>
      <c r="D864" s="10" t="str">
        <f t="shared" si="54"/>
        <v>Same</v>
      </c>
      <c r="E864" s="2">
        <v>62.19</v>
      </c>
      <c r="F864" s="2">
        <v>20</v>
      </c>
      <c r="G864" s="1">
        <f t="shared" si="55"/>
        <v>0.32159511175430133</v>
      </c>
      <c r="H864" s="2">
        <v>1.5</v>
      </c>
      <c r="I864" s="26">
        <v>0.74791666666666667</v>
      </c>
      <c r="J864" s="26">
        <v>0.78263888888888899</v>
      </c>
      <c r="K864" s="27">
        <f>Table3[[#This Row],[Delivery Time]]-Table3[[#This Row],[Order Time]]</f>
        <v>3.4722222222222321E-2</v>
      </c>
      <c r="L864" s="43">
        <v>50</v>
      </c>
      <c r="M864" s="25" t="s">
        <v>0</v>
      </c>
      <c r="N864" s="28"/>
      <c r="O864" s="28" t="s">
        <v>39</v>
      </c>
      <c r="P864" s="25" t="s">
        <v>20</v>
      </c>
    </row>
    <row r="865" spans="1:16" x14ac:dyDescent="0.25">
      <c r="A865" s="23">
        <f t="shared" si="56"/>
        <v>864</v>
      </c>
      <c r="B865" s="24">
        <v>43224</v>
      </c>
      <c r="C865" s="18" t="str">
        <f t="shared" si="53"/>
        <v>Friday</v>
      </c>
      <c r="D865" s="10" t="str">
        <f t="shared" si="54"/>
        <v>Same</v>
      </c>
      <c r="E865" s="2">
        <v>57.59</v>
      </c>
      <c r="F865" s="2">
        <v>5</v>
      </c>
      <c r="G865" s="1">
        <f t="shared" si="55"/>
        <v>8.6820628581350923E-2</v>
      </c>
      <c r="H865" s="2">
        <v>1.5</v>
      </c>
      <c r="I865" s="26">
        <v>0.75</v>
      </c>
      <c r="J865" s="26">
        <v>0.78749999999999998</v>
      </c>
      <c r="K865" s="27">
        <f>Table3[[#This Row],[Delivery Time]]-Table3[[#This Row],[Order Time]]</f>
        <v>3.7499999999999978E-2</v>
      </c>
      <c r="L865" s="43">
        <v>53.999999999999993</v>
      </c>
      <c r="M865" s="25" t="s">
        <v>0</v>
      </c>
      <c r="N865" s="28"/>
      <c r="O865" s="28" t="s">
        <v>39</v>
      </c>
      <c r="P865" s="25" t="s">
        <v>20</v>
      </c>
    </row>
    <row r="866" spans="1:16" x14ac:dyDescent="0.25">
      <c r="A866" s="23">
        <f t="shared" si="56"/>
        <v>865</v>
      </c>
      <c r="B866" s="24">
        <v>43224</v>
      </c>
      <c r="C866" s="18" t="str">
        <f t="shared" si="53"/>
        <v>Friday</v>
      </c>
      <c r="D866" s="10" t="str">
        <f t="shared" si="54"/>
        <v>Same</v>
      </c>
      <c r="E866" s="2">
        <v>65.489999999999995</v>
      </c>
      <c r="F866" s="2">
        <v>12.51</v>
      </c>
      <c r="G866" s="1">
        <f t="shared" si="55"/>
        <v>0.19102153000458086</v>
      </c>
      <c r="H866" s="2">
        <v>5</v>
      </c>
      <c r="I866" s="26">
        <v>0.74930555555555556</v>
      </c>
      <c r="J866" s="26">
        <v>0.7993055555555556</v>
      </c>
      <c r="K866" s="27">
        <f>Table3[[#This Row],[Delivery Time]]-Table3[[#This Row],[Order Time]]</f>
        <v>5.0000000000000044E-2</v>
      </c>
      <c r="L866" s="43">
        <v>72</v>
      </c>
      <c r="M866" s="25" t="s">
        <v>27</v>
      </c>
      <c r="N866" s="28"/>
      <c r="O866" s="28" t="s">
        <v>39</v>
      </c>
      <c r="P866" s="25" t="s">
        <v>20</v>
      </c>
    </row>
    <row r="867" spans="1:16" x14ac:dyDescent="0.25">
      <c r="A867" s="23">
        <f t="shared" si="56"/>
        <v>866</v>
      </c>
      <c r="B867" s="24">
        <v>43224</v>
      </c>
      <c r="C867" s="18" t="str">
        <f t="shared" si="53"/>
        <v>Friday</v>
      </c>
      <c r="D867" s="10" t="str">
        <f t="shared" si="54"/>
        <v>Same</v>
      </c>
      <c r="E867" s="2">
        <v>36.14</v>
      </c>
      <c r="F867" s="2">
        <v>4</v>
      </c>
      <c r="G867" s="1">
        <f t="shared" si="55"/>
        <v>0.11068068622025456</v>
      </c>
      <c r="H867" s="2">
        <v>1.5</v>
      </c>
      <c r="I867" s="26">
        <v>0.79583333333333339</v>
      </c>
      <c r="J867" s="26">
        <v>0.82638888888888884</v>
      </c>
      <c r="K867" s="27">
        <f>Table3[[#This Row],[Delivery Time]]-Table3[[#This Row],[Order Time]]</f>
        <v>3.0555555555555447E-2</v>
      </c>
      <c r="L867" s="43">
        <v>44</v>
      </c>
      <c r="M867" s="25" t="s">
        <v>11</v>
      </c>
      <c r="N867" s="28"/>
      <c r="O867" s="28" t="s">
        <v>39</v>
      </c>
      <c r="P867" s="25" t="s">
        <v>20</v>
      </c>
    </row>
    <row r="868" spans="1:16" x14ac:dyDescent="0.25">
      <c r="A868" s="23">
        <f t="shared" si="56"/>
        <v>867</v>
      </c>
      <c r="B868" s="24">
        <v>43226</v>
      </c>
      <c r="C868" s="18" t="str">
        <f t="shared" si="53"/>
        <v>Sunday</v>
      </c>
      <c r="D868" s="10" t="str">
        <f t="shared" si="54"/>
        <v>Different</v>
      </c>
      <c r="E868" s="2">
        <v>35.94</v>
      </c>
      <c r="F868" s="2">
        <v>12</v>
      </c>
      <c r="G868" s="1">
        <f t="shared" si="55"/>
        <v>0.333889816360601</v>
      </c>
      <c r="H868" s="2">
        <v>1.5</v>
      </c>
      <c r="I868" s="26">
        <v>0.72291666666666676</v>
      </c>
      <c r="J868" s="26">
        <v>0.75555555555555554</v>
      </c>
      <c r="K868" s="27">
        <f>Table3[[#This Row],[Delivery Time]]-Table3[[#This Row],[Order Time]]</f>
        <v>3.2638888888888773E-2</v>
      </c>
      <c r="L868" s="43">
        <v>47.000000000000007</v>
      </c>
      <c r="M868" s="25" t="s">
        <v>0</v>
      </c>
      <c r="N868" s="28"/>
      <c r="O868" s="28" t="s">
        <v>39</v>
      </c>
      <c r="P868" s="25" t="s">
        <v>20</v>
      </c>
    </row>
    <row r="869" spans="1:16" x14ac:dyDescent="0.25">
      <c r="A869" s="23">
        <f t="shared" si="56"/>
        <v>868</v>
      </c>
      <c r="B869" s="24">
        <v>43226</v>
      </c>
      <c r="C869" s="18" t="str">
        <f t="shared" si="53"/>
        <v>Sunday</v>
      </c>
      <c r="D869" s="10" t="str">
        <f t="shared" si="54"/>
        <v>Same</v>
      </c>
      <c r="E869" s="2">
        <v>88.39</v>
      </c>
      <c r="F869" s="2">
        <v>9</v>
      </c>
      <c r="G869" s="1">
        <f t="shared" si="55"/>
        <v>0.10182147301730965</v>
      </c>
      <c r="H869" s="2">
        <v>1.5</v>
      </c>
      <c r="I869" s="26">
        <v>0.72777777777777775</v>
      </c>
      <c r="J869" s="26">
        <v>0.76597222222222217</v>
      </c>
      <c r="K869" s="27">
        <f>Table3[[#This Row],[Delivery Time]]-Table3[[#This Row],[Order Time]]</f>
        <v>3.819444444444442E-2</v>
      </c>
      <c r="L869" s="43">
        <v>54.999999999999993</v>
      </c>
      <c r="M869" s="25" t="s">
        <v>0</v>
      </c>
      <c r="N869" s="28" t="s">
        <v>22</v>
      </c>
      <c r="O869" s="28" t="s">
        <v>39</v>
      </c>
      <c r="P869" s="25" t="s">
        <v>20</v>
      </c>
    </row>
    <row r="870" spans="1:16" x14ac:dyDescent="0.25">
      <c r="A870" s="23">
        <f t="shared" si="56"/>
        <v>869</v>
      </c>
      <c r="B870" s="24">
        <v>43226</v>
      </c>
      <c r="C870" s="18" t="str">
        <f t="shared" si="53"/>
        <v>Sunday</v>
      </c>
      <c r="D870" s="10" t="str">
        <f t="shared" si="54"/>
        <v>Same</v>
      </c>
      <c r="E870" s="2">
        <v>27.01</v>
      </c>
      <c r="F870" s="2">
        <v>5</v>
      </c>
      <c r="G870" s="1">
        <f t="shared" si="55"/>
        <v>0.18511662347278784</v>
      </c>
      <c r="H870" s="2">
        <v>1.5</v>
      </c>
      <c r="I870" s="26">
        <v>0.76111111111111107</v>
      </c>
      <c r="J870" s="26">
        <v>0.78680555555555554</v>
      </c>
      <c r="K870" s="27">
        <f>Table3[[#This Row],[Delivery Time]]-Table3[[#This Row],[Order Time]]</f>
        <v>2.5694444444444464E-2</v>
      </c>
      <c r="L870" s="43">
        <v>37</v>
      </c>
      <c r="M870" s="25" t="s">
        <v>0</v>
      </c>
      <c r="N870" s="28"/>
      <c r="O870" s="28" t="s">
        <v>39</v>
      </c>
      <c r="P870" s="25" t="s">
        <v>20</v>
      </c>
    </row>
    <row r="871" spans="1:16" x14ac:dyDescent="0.25">
      <c r="A871" s="23">
        <f t="shared" si="56"/>
        <v>870</v>
      </c>
      <c r="B871" s="24">
        <v>43226</v>
      </c>
      <c r="C871" s="18" t="str">
        <f t="shared" si="53"/>
        <v>Sunday</v>
      </c>
      <c r="D871" s="10" t="str">
        <f t="shared" si="54"/>
        <v>Same</v>
      </c>
      <c r="E871" s="2">
        <v>22.41</v>
      </c>
      <c r="F871" s="2">
        <v>5</v>
      </c>
      <c r="G871" s="1">
        <f t="shared" si="55"/>
        <v>0.22311468094600626</v>
      </c>
      <c r="H871" s="2">
        <v>1.5</v>
      </c>
      <c r="I871" s="26">
        <v>0.75624999999999998</v>
      </c>
      <c r="J871" s="26">
        <v>0.79027777777777775</v>
      </c>
      <c r="K871" s="27">
        <f>Table3[[#This Row],[Delivery Time]]-Table3[[#This Row],[Order Time]]</f>
        <v>3.4027777777777768E-2</v>
      </c>
      <c r="L871" s="43">
        <v>49</v>
      </c>
      <c r="M871" s="25" t="s">
        <v>0</v>
      </c>
      <c r="N871" s="28"/>
      <c r="O871" s="28" t="s">
        <v>39</v>
      </c>
      <c r="P871" s="25" t="s">
        <v>20</v>
      </c>
    </row>
    <row r="872" spans="1:16" x14ac:dyDescent="0.25">
      <c r="A872" s="23">
        <f t="shared" si="56"/>
        <v>871</v>
      </c>
      <c r="B872" s="24">
        <v>43226</v>
      </c>
      <c r="C872" s="18" t="str">
        <f t="shared" si="53"/>
        <v>Sunday</v>
      </c>
      <c r="D872" s="10" t="str">
        <f t="shared" si="54"/>
        <v>Same</v>
      </c>
      <c r="E872" s="2">
        <v>31.88</v>
      </c>
      <c r="F872" s="2">
        <v>5.12</v>
      </c>
      <c r="G872" s="1">
        <f t="shared" si="55"/>
        <v>0.16060225846925974</v>
      </c>
      <c r="H872" s="2">
        <v>1.5</v>
      </c>
      <c r="I872" s="26">
        <v>0.80972222222222223</v>
      </c>
      <c r="J872" s="26">
        <v>0.83750000000000002</v>
      </c>
      <c r="K872" s="27">
        <f>Table3[[#This Row],[Delivery Time]]-Table3[[#This Row],[Order Time]]</f>
        <v>2.777777777777779E-2</v>
      </c>
      <c r="L872" s="43">
        <v>40</v>
      </c>
      <c r="M872" s="25" t="s">
        <v>0</v>
      </c>
      <c r="N872" s="28"/>
      <c r="O872" s="28" t="s">
        <v>41</v>
      </c>
      <c r="P872" s="25" t="s">
        <v>20</v>
      </c>
    </row>
    <row r="873" spans="1:16" x14ac:dyDescent="0.25">
      <c r="A873" s="23">
        <f t="shared" si="56"/>
        <v>872</v>
      </c>
      <c r="B873" s="24">
        <v>43231</v>
      </c>
      <c r="C873" s="18" t="str">
        <f t="shared" si="53"/>
        <v>Friday</v>
      </c>
      <c r="D873" s="10" t="str">
        <f t="shared" si="54"/>
        <v>Different</v>
      </c>
      <c r="E873" s="2">
        <v>20.57</v>
      </c>
      <c r="F873" s="2">
        <v>1.43</v>
      </c>
      <c r="G873" s="1">
        <f t="shared" si="55"/>
        <v>6.9518716577540107E-2</v>
      </c>
      <c r="H873" s="2">
        <v>1.5</v>
      </c>
      <c r="I873" s="26">
        <v>0.72499999999999998</v>
      </c>
      <c r="J873" s="26">
        <v>0.75</v>
      </c>
      <c r="K873" s="27">
        <f>Table3[[#This Row],[Delivery Time]]-Table3[[#This Row],[Order Time]]</f>
        <v>2.5000000000000022E-2</v>
      </c>
      <c r="L873" s="43">
        <v>36</v>
      </c>
      <c r="M873" s="25" t="s">
        <v>11</v>
      </c>
      <c r="N873" s="28"/>
      <c r="O873" s="28" t="s">
        <v>40</v>
      </c>
      <c r="P873" s="25" t="s">
        <v>20</v>
      </c>
    </row>
    <row r="874" spans="1:16" x14ac:dyDescent="0.25">
      <c r="A874" s="23">
        <f t="shared" si="56"/>
        <v>873</v>
      </c>
      <c r="B874" s="24">
        <v>43231</v>
      </c>
      <c r="C874" s="18" t="str">
        <f t="shared" si="53"/>
        <v>Friday</v>
      </c>
      <c r="D874" s="10" t="str">
        <f t="shared" si="54"/>
        <v>Same</v>
      </c>
      <c r="E874" s="2">
        <v>21.33</v>
      </c>
      <c r="F874" s="2">
        <v>7</v>
      </c>
      <c r="G874" s="1">
        <f t="shared" si="55"/>
        <v>0.3281762775433662</v>
      </c>
      <c r="H874" s="2">
        <v>1.5</v>
      </c>
      <c r="I874" s="26">
        <v>0.72499999999999998</v>
      </c>
      <c r="J874" s="26">
        <v>0.76111111111111107</v>
      </c>
      <c r="K874" s="27">
        <f>Table3[[#This Row],[Delivery Time]]-Table3[[#This Row],[Order Time]]</f>
        <v>3.6111111111111094E-2</v>
      </c>
      <c r="L874" s="43">
        <v>52</v>
      </c>
      <c r="M874" s="25" t="s">
        <v>11</v>
      </c>
      <c r="N874" s="28"/>
      <c r="O874" s="28" t="s">
        <v>39</v>
      </c>
      <c r="P874" s="25" t="s">
        <v>20</v>
      </c>
    </row>
    <row r="875" spans="1:16" x14ac:dyDescent="0.25">
      <c r="A875" s="23">
        <f t="shared" si="56"/>
        <v>874</v>
      </c>
      <c r="B875" s="24">
        <v>43231</v>
      </c>
      <c r="C875" s="18" t="str">
        <f t="shared" si="53"/>
        <v>Friday</v>
      </c>
      <c r="D875" s="10" t="str">
        <f t="shared" si="54"/>
        <v>Same</v>
      </c>
      <c r="E875" s="2">
        <v>42.98</v>
      </c>
      <c r="F875" s="2">
        <v>5</v>
      </c>
      <c r="G875" s="1">
        <f t="shared" si="55"/>
        <v>0.11633317822242904</v>
      </c>
      <c r="H875" s="2">
        <v>5</v>
      </c>
      <c r="I875" s="26">
        <v>0.73819444444444438</v>
      </c>
      <c r="J875" s="26">
        <v>0.77222222222222225</v>
      </c>
      <c r="K875" s="27">
        <f>Table3[[#This Row],[Delivery Time]]-Table3[[#This Row],[Order Time]]</f>
        <v>3.4027777777777879E-2</v>
      </c>
      <c r="L875" s="43">
        <v>49</v>
      </c>
      <c r="M875" s="25" t="s">
        <v>69</v>
      </c>
      <c r="N875" s="28"/>
      <c r="O875" s="28" t="s">
        <v>39</v>
      </c>
      <c r="P875" s="25" t="s">
        <v>20</v>
      </c>
    </row>
    <row r="876" spans="1:16" x14ac:dyDescent="0.25">
      <c r="A876" s="23">
        <f t="shared" si="56"/>
        <v>875</v>
      </c>
      <c r="B876" s="24">
        <v>43231</v>
      </c>
      <c r="C876" s="18" t="str">
        <f t="shared" si="53"/>
        <v>Friday</v>
      </c>
      <c r="D876" s="10" t="str">
        <f t="shared" si="54"/>
        <v>Same</v>
      </c>
      <c r="E876" s="2">
        <v>20.57</v>
      </c>
      <c r="F876" s="2">
        <v>3</v>
      </c>
      <c r="G876" s="1">
        <f t="shared" si="55"/>
        <v>0.14584346135148274</v>
      </c>
      <c r="H876" s="2">
        <v>1.5</v>
      </c>
      <c r="I876" s="26">
        <v>0.77708333333333324</v>
      </c>
      <c r="J876" s="26">
        <v>0.80347222222222225</v>
      </c>
      <c r="K876" s="27">
        <f>Table3[[#This Row],[Delivery Time]]-Table3[[#This Row],[Order Time]]</f>
        <v>2.6388888888889017E-2</v>
      </c>
      <c r="L876" s="43">
        <v>38</v>
      </c>
      <c r="M876" s="25" t="s">
        <v>0</v>
      </c>
      <c r="N876" s="28"/>
      <c r="O876" s="28" t="s">
        <v>39</v>
      </c>
      <c r="P876" s="25" t="s">
        <v>20</v>
      </c>
    </row>
    <row r="877" spans="1:16" x14ac:dyDescent="0.25">
      <c r="A877" s="23">
        <f t="shared" si="56"/>
        <v>876</v>
      </c>
      <c r="B877" s="24">
        <v>43231</v>
      </c>
      <c r="C877" s="18" t="str">
        <f t="shared" si="53"/>
        <v>Friday</v>
      </c>
      <c r="D877" s="10" t="str">
        <f t="shared" si="54"/>
        <v>Same</v>
      </c>
      <c r="E877" s="2">
        <v>30.26</v>
      </c>
      <c r="F877" s="2">
        <v>3.74</v>
      </c>
      <c r="G877" s="1">
        <f t="shared" si="55"/>
        <v>0.12359550561797752</v>
      </c>
      <c r="H877" s="2">
        <v>1.5</v>
      </c>
      <c r="I877" s="26">
        <v>0.80972222222222223</v>
      </c>
      <c r="J877" s="26">
        <v>0.83888888888888891</v>
      </c>
      <c r="K877" s="27">
        <f>Table3[[#This Row],[Delivery Time]]-Table3[[#This Row],[Order Time]]</f>
        <v>2.9166666666666674E-2</v>
      </c>
      <c r="L877" s="43">
        <v>42</v>
      </c>
      <c r="M877" s="25" t="s">
        <v>0</v>
      </c>
      <c r="N877" s="28"/>
      <c r="O877" s="28" t="s">
        <v>41</v>
      </c>
      <c r="P877" s="25" t="s">
        <v>20</v>
      </c>
    </row>
    <row r="878" spans="1:16" x14ac:dyDescent="0.25">
      <c r="A878" s="23">
        <f t="shared" si="56"/>
        <v>877</v>
      </c>
      <c r="B878" s="24">
        <v>43231</v>
      </c>
      <c r="C878" s="18" t="str">
        <f t="shared" si="53"/>
        <v>Friday</v>
      </c>
      <c r="D878" s="10" t="str">
        <f t="shared" si="54"/>
        <v>Same</v>
      </c>
      <c r="E878" s="2">
        <v>37.51</v>
      </c>
      <c r="F878" s="2">
        <v>7</v>
      </c>
      <c r="G878" s="1">
        <f t="shared" si="55"/>
        <v>0.18661690215942417</v>
      </c>
      <c r="H878" s="2">
        <v>1.5</v>
      </c>
      <c r="I878" s="26">
        <v>0.82291666666666663</v>
      </c>
      <c r="J878" s="26">
        <v>0.85069444444444453</v>
      </c>
      <c r="K878" s="27">
        <f>Table3[[#This Row],[Delivery Time]]-Table3[[#This Row],[Order Time]]</f>
        <v>2.7777777777777901E-2</v>
      </c>
      <c r="L878" s="43">
        <v>40</v>
      </c>
      <c r="M878" s="25" t="s">
        <v>0</v>
      </c>
      <c r="N878" s="28" t="s">
        <v>25</v>
      </c>
      <c r="O878" s="28" t="s">
        <v>39</v>
      </c>
      <c r="P878" s="25" t="s">
        <v>20</v>
      </c>
    </row>
    <row r="879" spans="1:16" x14ac:dyDescent="0.25">
      <c r="A879" s="23">
        <f t="shared" si="56"/>
        <v>878</v>
      </c>
      <c r="B879" s="24">
        <v>43231</v>
      </c>
      <c r="C879" s="18" t="str">
        <f t="shared" si="53"/>
        <v>Friday</v>
      </c>
      <c r="D879" s="10" t="str">
        <f t="shared" si="54"/>
        <v>Same</v>
      </c>
      <c r="E879" s="2">
        <v>37.35</v>
      </c>
      <c r="F879" s="2">
        <v>5</v>
      </c>
      <c r="G879" s="1">
        <f t="shared" si="55"/>
        <v>0.13386880856760375</v>
      </c>
      <c r="H879" s="2">
        <v>1.5</v>
      </c>
      <c r="I879" s="26">
        <v>0.85833333333333339</v>
      </c>
      <c r="J879" s="26">
        <v>0.875</v>
      </c>
      <c r="K879" s="27">
        <f>Table3[[#This Row],[Delivery Time]]-Table3[[#This Row],[Order Time]]</f>
        <v>1.6666666666666607E-2</v>
      </c>
      <c r="L879" s="43">
        <v>24</v>
      </c>
      <c r="M879" s="25" t="s">
        <v>0</v>
      </c>
      <c r="N879" s="28"/>
      <c r="O879" s="28" t="s">
        <v>40</v>
      </c>
      <c r="P879" s="25" t="s">
        <v>20</v>
      </c>
    </row>
    <row r="880" spans="1:16" x14ac:dyDescent="0.25">
      <c r="A880" s="23">
        <f t="shared" si="56"/>
        <v>879</v>
      </c>
      <c r="B880" s="24">
        <v>43231</v>
      </c>
      <c r="C880" s="18" t="str">
        <f t="shared" si="53"/>
        <v>Friday</v>
      </c>
      <c r="D880" s="10" t="str">
        <f t="shared" si="54"/>
        <v>Same</v>
      </c>
      <c r="E880" s="2">
        <v>22.68</v>
      </c>
      <c r="F880" s="2">
        <v>5</v>
      </c>
      <c r="G880" s="1">
        <f t="shared" si="55"/>
        <v>0.22045855379188714</v>
      </c>
      <c r="H880" s="2">
        <v>5</v>
      </c>
      <c r="I880" s="26">
        <v>0.85138888888888886</v>
      </c>
      <c r="J880" s="26">
        <v>0.88750000000000007</v>
      </c>
      <c r="K880" s="27">
        <f>Table3[[#This Row],[Delivery Time]]-Table3[[#This Row],[Order Time]]</f>
        <v>3.6111111111111205E-2</v>
      </c>
      <c r="L880" s="43">
        <v>52</v>
      </c>
      <c r="M880" s="25" t="s">
        <v>0</v>
      </c>
      <c r="N880" s="28"/>
      <c r="O880" s="28" t="s">
        <v>39</v>
      </c>
      <c r="P880" s="25" t="s">
        <v>20</v>
      </c>
    </row>
    <row r="881" spans="1:16" x14ac:dyDescent="0.25">
      <c r="A881" s="23">
        <f t="shared" si="56"/>
        <v>880</v>
      </c>
      <c r="B881" s="24">
        <v>43231</v>
      </c>
      <c r="C881" s="18" t="str">
        <f t="shared" si="53"/>
        <v>Friday</v>
      </c>
      <c r="D881" s="10" t="str">
        <f t="shared" si="54"/>
        <v>Same</v>
      </c>
      <c r="E881" s="2">
        <v>55.05</v>
      </c>
      <c r="F881" s="2">
        <v>5</v>
      </c>
      <c r="G881" s="1">
        <f t="shared" si="55"/>
        <v>9.0826521344232525E-2</v>
      </c>
      <c r="H881" s="2">
        <v>1.5</v>
      </c>
      <c r="I881" s="26">
        <v>0.85486111111111107</v>
      </c>
      <c r="J881" s="26">
        <v>0.8965277777777777</v>
      </c>
      <c r="K881" s="27">
        <f>Table3[[#This Row],[Delivery Time]]-Table3[[#This Row],[Order Time]]</f>
        <v>4.166666666666663E-2</v>
      </c>
      <c r="L881" s="43">
        <v>60</v>
      </c>
      <c r="M881" s="25" t="s">
        <v>0</v>
      </c>
      <c r="N881" s="28"/>
      <c r="O881" s="28" t="s">
        <v>39</v>
      </c>
      <c r="P881" s="25" t="s">
        <v>20</v>
      </c>
    </row>
    <row r="882" spans="1:16" x14ac:dyDescent="0.25">
      <c r="A882" s="23">
        <f t="shared" si="56"/>
        <v>881</v>
      </c>
      <c r="B882" s="24">
        <v>43232</v>
      </c>
      <c r="C882" s="18" t="str">
        <f t="shared" si="53"/>
        <v>Saturday</v>
      </c>
      <c r="D882" s="10" t="str">
        <f t="shared" si="54"/>
        <v>Different</v>
      </c>
      <c r="E882" s="2">
        <v>30.53</v>
      </c>
      <c r="F882" s="2">
        <v>5</v>
      </c>
      <c r="G882" s="1">
        <f t="shared" si="55"/>
        <v>0.16377333770062233</v>
      </c>
      <c r="H882" s="2">
        <v>1.5</v>
      </c>
      <c r="I882" s="26">
        <v>0.72916666666666663</v>
      </c>
      <c r="J882" s="26">
        <v>0.72916666666666663</v>
      </c>
      <c r="K882" s="27">
        <f>Table3[[#This Row],[Delivery Time]]-Table3[[#This Row],[Order Time]]</f>
        <v>0</v>
      </c>
      <c r="L882" s="43">
        <v>0</v>
      </c>
      <c r="M882" s="25" t="s">
        <v>0</v>
      </c>
      <c r="N882" s="28"/>
      <c r="O882" s="28" t="s">
        <v>39</v>
      </c>
      <c r="P882" s="25" t="s">
        <v>16</v>
      </c>
    </row>
    <row r="883" spans="1:16" x14ac:dyDescent="0.25">
      <c r="A883" s="23">
        <f t="shared" si="56"/>
        <v>882</v>
      </c>
      <c r="B883" s="24">
        <v>43232</v>
      </c>
      <c r="C883" s="18" t="str">
        <f t="shared" si="53"/>
        <v>Saturday</v>
      </c>
      <c r="D883" s="10" t="str">
        <f t="shared" si="54"/>
        <v>Same</v>
      </c>
      <c r="E883" s="2">
        <v>13.53</v>
      </c>
      <c r="F883" s="2">
        <v>5</v>
      </c>
      <c r="G883" s="1">
        <f t="shared" si="55"/>
        <v>0.36954915003695493</v>
      </c>
      <c r="H883" s="2">
        <v>1.5</v>
      </c>
      <c r="I883" s="26">
        <v>0.76041666666666663</v>
      </c>
      <c r="J883" s="26">
        <v>0.78749999999999998</v>
      </c>
      <c r="K883" s="27">
        <f>Table3[[#This Row],[Delivery Time]]-Table3[[#This Row],[Order Time]]</f>
        <v>2.7083333333333348E-2</v>
      </c>
      <c r="L883" s="43">
        <v>39</v>
      </c>
      <c r="M883" s="25" t="s">
        <v>0</v>
      </c>
      <c r="N883" s="28"/>
      <c r="O883" s="28" t="s">
        <v>41</v>
      </c>
      <c r="P883" s="25" t="s">
        <v>20</v>
      </c>
    </row>
    <row r="884" spans="1:16" x14ac:dyDescent="0.25">
      <c r="A884" s="23">
        <f t="shared" si="56"/>
        <v>883</v>
      </c>
      <c r="B884" s="24">
        <v>43232</v>
      </c>
      <c r="C884" s="18" t="str">
        <f t="shared" si="53"/>
        <v>Saturday</v>
      </c>
      <c r="D884" s="10" t="str">
        <f t="shared" si="54"/>
        <v>Same</v>
      </c>
      <c r="E884" s="2">
        <v>41.08</v>
      </c>
      <c r="F884" s="2">
        <v>8</v>
      </c>
      <c r="G884" s="1">
        <f t="shared" si="55"/>
        <v>0.19474196689386564</v>
      </c>
      <c r="H884" s="2">
        <v>5</v>
      </c>
      <c r="I884" s="26">
        <v>0.76944444444444438</v>
      </c>
      <c r="J884" s="26">
        <v>0.80138888888888893</v>
      </c>
      <c r="K884" s="27">
        <f>Table3[[#This Row],[Delivery Time]]-Table3[[#This Row],[Order Time]]</f>
        <v>3.1944444444444553E-2</v>
      </c>
      <c r="L884" s="43">
        <v>46.000000000000007</v>
      </c>
      <c r="M884" s="25" t="s">
        <v>0</v>
      </c>
      <c r="N884" s="28"/>
      <c r="O884" s="28" t="s">
        <v>39</v>
      </c>
      <c r="P884" s="25" t="s">
        <v>20</v>
      </c>
    </row>
    <row r="885" spans="1:16" x14ac:dyDescent="0.25">
      <c r="A885" s="23">
        <f t="shared" si="56"/>
        <v>884</v>
      </c>
      <c r="B885" s="24">
        <v>43232</v>
      </c>
      <c r="C885" s="18" t="str">
        <f t="shared" si="53"/>
        <v>Saturday</v>
      </c>
      <c r="D885" s="10" t="str">
        <f t="shared" si="54"/>
        <v>Same</v>
      </c>
      <c r="E885" s="2">
        <v>39.67</v>
      </c>
      <c r="F885" s="2">
        <v>10</v>
      </c>
      <c r="G885" s="1">
        <f t="shared" si="55"/>
        <v>0.25207965717166625</v>
      </c>
      <c r="H885" s="2">
        <v>5</v>
      </c>
      <c r="I885" s="26">
        <v>0.80694444444444446</v>
      </c>
      <c r="J885" s="26">
        <v>0.83611111111111114</v>
      </c>
      <c r="K885" s="27">
        <f>Table3[[#This Row],[Delivery Time]]-Table3[[#This Row],[Order Time]]</f>
        <v>2.9166666666666674E-2</v>
      </c>
      <c r="L885" s="43">
        <v>42</v>
      </c>
      <c r="M885" s="25" t="s">
        <v>11</v>
      </c>
      <c r="N885" s="28"/>
      <c r="O885" s="28" t="s">
        <v>39</v>
      </c>
      <c r="P885" s="25" t="s">
        <v>20</v>
      </c>
    </row>
    <row r="886" spans="1:16" x14ac:dyDescent="0.25">
      <c r="A886" s="23">
        <f t="shared" si="56"/>
        <v>885</v>
      </c>
      <c r="B886" s="24">
        <v>43238</v>
      </c>
      <c r="C886" s="18" t="str">
        <f t="shared" si="53"/>
        <v>Friday</v>
      </c>
      <c r="D886" s="10" t="str">
        <f t="shared" si="54"/>
        <v>Different</v>
      </c>
      <c r="E886" s="2">
        <v>47.47</v>
      </c>
      <c r="F886" s="2">
        <v>5</v>
      </c>
      <c r="G886" s="1">
        <f t="shared" si="55"/>
        <v>0.10532968190436065</v>
      </c>
      <c r="H886" s="2">
        <v>1.5</v>
      </c>
      <c r="I886" s="26">
        <v>0.69930555555555562</v>
      </c>
      <c r="J886" s="26">
        <v>0.71875</v>
      </c>
      <c r="K886" s="27">
        <f>Table3[[#This Row],[Delivery Time]]-Table3[[#This Row],[Order Time]]</f>
        <v>1.9444444444444375E-2</v>
      </c>
      <c r="L886" s="43">
        <v>28</v>
      </c>
      <c r="M886" s="25" t="s">
        <v>11</v>
      </c>
      <c r="N886" s="28"/>
      <c r="O886" s="28" t="s">
        <v>39</v>
      </c>
      <c r="P886" s="25" t="s">
        <v>20</v>
      </c>
    </row>
    <row r="887" spans="1:16" x14ac:dyDescent="0.25">
      <c r="A887" s="23">
        <f t="shared" si="56"/>
        <v>886</v>
      </c>
      <c r="B887" s="24">
        <v>43238</v>
      </c>
      <c r="C887" s="18" t="str">
        <f t="shared" si="53"/>
        <v>Friday</v>
      </c>
      <c r="D887" s="10" t="str">
        <f t="shared" si="54"/>
        <v>Same</v>
      </c>
      <c r="E887" s="2">
        <v>67.92</v>
      </c>
      <c r="F887" s="2">
        <v>6</v>
      </c>
      <c r="G887" s="1">
        <f t="shared" si="55"/>
        <v>8.8339222614840993E-2</v>
      </c>
      <c r="H887" s="2">
        <v>7</v>
      </c>
      <c r="I887" s="26">
        <v>0.7583333333333333</v>
      </c>
      <c r="J887" s="26">
        <v>0.79722222222222217</v>
      </c>
      <c r="K887" s="27">
        <f>Table3[[#This Row],[Delivery Time]]-Table3[[#This Row],[Order Time]]</f>
        <v>3.8888888888888862E-2</v>
      </c>
      <c r="L887" s="43">
        <v>56</v>
      </c>
      <c r="M887" s="25" t="s">
        <v>12</v>
      </c>
      <c r="N887" s="28"/>
      <c r="O887" s="28" t="s">
        <v>39</v>
      </c>
      <c r="P887" s="25" t="s">
        <v>20</v>
      </c>
    </row>
    <row r="888" spans="1:16" x14ac:dyDescent="0.25">
      <c r="A888" s="23">
        <f t="shared" si="56"/>
        <v>887</v>
      </c>
      <c r="B888" s="24">
        <v>43238</v>
      </c>
      <c r="C888" s="18" t="str">
        <f t="shared" si="53"/>
        <v>Friday</v>
      </c>
      <c r="D888" s="10" t="str">
        <f t="shared" si="54"/>
        <v>Same</v>
      </c>
      <c r="E888" s="2">
        <v>46.55</v>
      </c>
      <c r="F888" s="2">
        <v>8</v>
      </c>
      <c r="G888" s="1">
        <f t="shared" si="55"/>
        <v>0.17185821697099893</v>
      </c>
      <c r="H888" s="2">
        <v>1.5</v>
      </c>
      <c r="I888" s="26">
        <v>0.76041666666666663</v>
      </c>
      <c r="J888" s="26">
        <v>0.8041666666666667</v>
      </c>
      <c r="K888" s="27">
        <f>Table3[[#This Row],[Delivery Time]]-Table3[[#This Row],[Order Time]]</f>
        <v>4.3750000000000067E-2</v>
      </c>
      <c r="L888" s="43">
        <v>63</v>
      </c>
      <c r="M888" s="25" t="s">
        <v>36</v>
      </c>
      <c r="N888" s="28"/>
      <c r="O888" s="28" t="s">
        <v>39</v>
      </c>
      <c r="P888" s="25" t="s">
        <v>20</v>
      </c>
    </row>
    <row r="889" spans="1:16" x14ac:dyDescent="0.25">
      <c r="A889" s="23">
        <f t="shared" si="56"/>
        <v>888</v>
      </c>
      <c r="B889" s="24">
        <v>43238</v>
      </c>
      <c r="C889" s="18" t="str">
        <f t="shared" si="53"/>
        <v>Friday</v>
      </c>
      <c r="D889" s="10" t="str">
        <f t="shared" si="54"/>
        <v>Same</v>
      </c>
      <c r="E889" s="2">
        <v>30.31</v>
      </c>
      <c r="F889" s="2">
        <v>5</v>
      </c>
      <c r="G889" s="1">
        <f t="shared" si="55"/>
        <v>0.16496205872649292</v>
      </c>
      <c r="H889" s="2">
        <v>1.5</v>
      </c>
      <c r="I889" s="26">
        <v>0.76527777777777783</v>
      </c>
      <c r="J889" s="26">
        <v>0.81111111111111101</v>
      </c>
      <c r="K889" s="27">
        <f>Table3[[#This Row],[Delivery Time]]-Table3[[#This Row],[Order Time]]</f>
        <v>4.5833333333333171E-2</v>
      </c>
      <c r="L889" s="43">
        <v>66</v>
      </c>
      <c r="M889" s="25" t="s">
        <v>11</v>
      </c>
      <c r="N889" s="28"/>
      <c r="O889" s="28" t="s">
        <v>39</v>
      </c>
      <c r="P889" s="25" t="s">
        <v>20</v>
      </c>
    </row>
    <row r="890" spans="1:16" x14ac:dyDescent="0.25">
      <c r="A890" s="23">
        <f t="shared" si="56"/>
        <v>889</v>
      </c>
      <c r="B890" s="24">
        <v>43238</v>
      </c>
      <c r="C890" s="18" t="str">
        <f t="shared" si="53"/>
        <v>Friday</v>
      </c>
      <c r="D890" s="10" t="str">
        <f t="shared" si="54"/>
        <v>Same</v>
      </c>
      <c r="E890" s="2">
        <v>31.39</v>
      </c>
      <c r="F890" s="2">
        <v>5</v>
      </c>
      <c r="G890" s="1">
        <f t="shared" si="55"/>
        <v>0.15928639694170119</v>
      </c>
      <c r="H890" s="2">
        <v>1.5</v>
      </c>
      <c r="I890" s="26">
        <v>0.81388888888888899</v>
      </c>
      <c r="J890" s="26">
        <v>0.83888888888888891</v>
      </c>
      <c r="K890" s="27">
        <f>Table3[[#This Row],[Delivery Time]]-Table3[[#This Row],[Order Time]]</f>
        <v>2.4999999999999911E-2</v>
      </c>
      <c r="L890" s="43">
        <v>36</v>
      </c>
      <c r="M890" s="25" t="s">
        <v>11</v>
      </c>
      <c r="N890" s="28"/>
      <c r="O890" s="28" t="s">
        <v>39</v>
      </c>
      <c r="P890" s="25" t="s">
        <v>20</v>
      </c>
    </row>
    <row r="891" spans="1:16" x14ac:dyDescent="0.25">
      <c r="A891" s="23">
        <f t="shared" si="56"/>
        <v>890</v>
      </c>
      <c r="B891" s="24">
        <v>43238</v>
      </c>
      <c r="C891" s="18" t="str">
        <f t="shared" si="53"/>
        <v>Friday</v>
      </c>
      <c r="D891" s="10" t="str">
        <f t="shared" si="54"/>
        <v>Same</v>
      </c>
      <c r="E891" s="2">
        <v>45.63</v>
      </c>
      <c r="F891" s="2">
        <v>7</v>
      </c>
      <c r="G891" s="1">
        <f t="shared" si="55"/>
        <v>0.153407845715538</v>
      </c>
      <c r="H891" s="2">
        <v>1.5</v>
      </c>
      <c r="I891" s="26">
        <v>0.81319444444444444</v>
      </c>
      <c r="J891" s="26">
        <v>0.84583333333333333</v>
      </c>
      <c r="K891" s="27">
        <f>Table3[[#This Row],[Delivery Time]]-Table3[[#This Row],[Order Time]]</f>
        <v>3.2638888888888884E-2</v>
      </c>
      <c r="L891" s="43">
        <v>47.000000000000007</v>
      </c>
      <c r="M891" s="25" t="s">
        <v>11</v>
      </c>
      <c r="N891" s="28"/>
      <c r="O891" s="28" t="s">
        <v>39</v>
      </c>
      <c r="P891" s="25" t="s">
        <v>20</v>
      </c>
    </row>
    <row r="892" spans="1:16" x14ac:dyDescent="0.25">
      <c r="A892" s="23">
        <f t="shared" si="56"/>
        <v>891</v>
      </c>
      <c r="B892" s="24">
        <v>43239</v>
      </c>
      <c r="C892" s="18" t="str">
        <f t="shared" si="53"/>
        <v>Saturday</v>
      </c>
      <c r="D892" s="10" t="str">
        <f t="shared" si="54"/>
        <v>Different</v>
      </c>
      <c r="E892" s="2">
        <v>19.21</v>
      </c>
      <c r="F892" s="2">
        <v>5</v>
      </c>
      <c r="G892" s="1">
        <f t="shared" si="55"/>
        <v>0.26028110359187923</v>
      </c>
      <c r="H892" s="2">
        <v>1.5</v>
      </c>
      <c r="I892" s="26">
        <v>0.69027777777777777</v>
      </c>
      <c r="J892" s="26">
        <v>0.70694444444444438</v>
      </c>
      <c r="K892" s="27">
        <f>Table3[[#This Row],[Delivery Time]]-Table3[[#This Row],[Order Time]]</f>
        <v>1.6666666666666607E-2</v>
      </c>
      <c r="L892" s="43">
        <v>24</v>
      </c>
      <c r="M892" s="25" t="s">
        <v>0</v>
      </c>
      <c r="N892" s="28"/>
      <c r="O892" s="28" t="s">
        <v>42</v>
      </c>
      <c r="P892" s="25" t="s">
        <v>20</v>
      </c>
    </row>
    <row r="893" spans="1:16" x14ac:dyDescent="0.25">
      <c r="A893" s="23">
        <f t="shared" si="56"/>
        <v>892</v>
      </c>
      <c r="B893" s="24">
        <v>43239</v>
      </c>
      <c r="C893" s="18" t="str">
        <f t="shared" si="53"/>
        <v>Saturday</v>
      </c>
      <c r="D893" s="10" t="str">
        <f t="shared" si="54"/>
        <v>Same</v>
      </c>
      <c r="E893" s="2">
        <v>54.56</v>
      </c>
      <c r="F893" s="2">
        <v>13.44</v>
      </c>
      <c r="G893" s="1">
        <f t="shared" si="55"/>
        <v>0.24633431085043986</v>
      </c>
      <c r="H893" s="2">
        <v>1.5</v>
      </c>
      <c r="I893" s="26">
        <v>0.69236111111111109</v>
      </c>
      <c r="J893" s="26">
        <v>0.71180555555555547</v>
      </c>
      <c r="K893" s="27">
        <f>Table3[[#This Row],[Delivery Time]]-Table3[[#This Row],[Order Time]]</f>
        <v>1.9444444444444375E-2</v>
      </c>
      <c r="L893" s="43">
        <v>28</v>
      </c>
      <c r="M893" s="25" t="s">
        <v>0</v>
      </c>
      <c r="N893" s="28"/>
      <c r="O893" s="28" t="s">
        <v>39</v>
      </c>
      <c r="P893" s="25" t="s">
        <v>20</v>
      </c>
    </row>
    <row r="894" spans="1:16" x14ac:dyDescent="0.25">
      <c r="A894" s="23">
        <f t="shared" si="56"/>
        <v>893</v>
      </c>
      <c r="B894" s="24">
        <v>43239</v>
      </c>
      <c r="C894" s="18" t="str">
        <f t="shared" si="53"/>
        <v>Saturday</v>
      </c>
      <c r="D894" s="10" t="str">
        <f t="shared" si="54"/>
        <v>Same</v>
      </c>
      <c r="E894" s="2">
        <v>38.049999999999997</v>
      </c>
      <c r="F894" s="2">
        <v>7</v>
      </c>
      <c r="G894" s="1">
        <f t="shared" si="55"/>
        <v>0.18396846254927729</v>
      </c>
      <c r="H894" s="2">
        <v>5</v>
      </c>
      <c r="I894" s="26">
        <v>0.7631944444444444</v>
      </c>
      <c r="J894" s="26">
        <v>0.79583333333333339</v>
      </c>
      <c r="K894" s="27">
        <f>Table3[[#This Row],[Delivery Time]]-Table3[[#This Row],[Order Time]]</f>
        <v>3.2638888888888995E-2</v>
      </c>
      <c r="L894" s="43">
        <v>47.000000000000007</v>
      </c>
      <c r="M894" s="25" t="s">
        <v>0</v>
      </c>
      <c r="N894" s="28"/>
      <c r="O894" s="28" t="s">
        <v>39</v>
      </c>
      <c r="P894" s="25" t="s">
        <v>20</v>
      </c>
    </row>
    <row r="895" spans="1:16" x14ac:dyDescent="0.25">
      <c r="A895" s="23">
        <f t="shared" si="56"/>
        <v>894</v>
      </c>
      <c r="B895" s="24">
        <v>43239</v>
      </c>
      <c r="C895" s="18" t="str">
        <f t="shared" si="53"/>
        <v>Saturday</v>
      </c>
      <c r="D895" s="10" t="str">
        <f t="shared" si="54"/>
        <v>Same</v>
      </c>
      <c r="E895" s="2">
        <v>79.78</v>
      </c>
      <c r="F895" s="2">
        <v>12</v>
      </c>
      <c r="G895" s="1">
        <f t="shared" si="55"/>
        <v>0.15041363750313361</v>
      </c>
      <c r="H895" s="2">
        <v>5</v>
      </c>
      <c r="I895" s="26">
        <v>0.76666666666666661</v>
      </c>
      <c r="J895" s="26">
        <v>0.79861111111111116</v>
      </c>
      <c r="K895" s="27">
        <f>Table3[[#This Row],[Delivery Time]]-Table3[[#This Row],[Order Time]]</f>
        <v>3.1944444444444553E-2</v>
      </c>
      <c r="L895" s="43">
        <v>46.000000000000007</v>
      </c>
      <c r="M895" s="25" t="s">
        <v>0</v>
      </c>
      <c r="N895" s="28"/>
      <c r="O895" s="28" t="s">
        <v>39</v>
      </c>
      <c r="P895" s="25" t="s">
        <v>20</v>
      </c>
    </row>
    <row r="896" spans="1:16" x14ac:dyDescent="0.25">
      <c r="A896" s="23">
        <f t="shared" si="56"/>
        <v>895</v>
      </c>
      <c r="B896" s="24">
        <v>43239</v>
      </c>
      <c r="C896" s="18" t="str">
        <f t="shared" si="53"/>
        <v>Saturday</v>
      </c>
      <c r="D896" s="10" t="str">
        <f t="shared" si="54"/>
        <v>Same</v>
      </c>
      <c r="E896" s="2">
        <v>27.87</v>
      </c>
      <c r="F896" s="2">
        <v>10</v>
      </c>
      <c r="G896" s="1">
        <f t="shared" si="55"/>
        <v>0.35880875493362036</v>
      </c>
      <c r="H896" s="2">
        <v>5</v>
      </c>
      <c r="I896" s="26">
        <v>0.77777777777777779</v>
      </c>
      <c r="J896" s="26">
        <v>0.8041666666666667</v>
      </c>
      <c r="K896" s="27">
        <f>Table3[[#This Row],[Delivery Time]]-Table3[[#This Row],[Order Time]]</f>
        <v>2.6388888888888906E-2</v>
      </c>
      <c r="L896" s="43">
        <v>38</v>
      </c>
      <c r="M896" s="25" t="s">
        <v>0</v>
      </c>
      <c r="N896" s="28"/>
      <c r="O896" s="28" t="s">
        <v>39</v>
      </c>
      <c r="P896" s="25" t="s">
        <v>20</v>
      </c>
    </row>
    <row r="897" spans="1:16" x14ac:dyDescent="0.25">
      <c r="A897" s="23">
        <f t="shared" si="56"/>
        <v>896</v>
      </c>
      <c r="B897" s="24">
        <v>43239</v>
      </c>
      <c r="C897" s="18" t="str">
        <f t="shared" si="53"/>
        <v>Saturday</v>
      </c>
      <c r="D897" s="10" t="str">
        <f t="shared" si="54"/>
        <v>Same</v>
      </c>
      <c r="E897" s="2">
        <v>18.350000000000001</v>
      </c>
      <c r="F897" s="2">
        <v>5</v>
      </c>
      <c r="G897" s="1">
        <f t="shared" si="55"/>
        <v>0.27247956403269752</v>
      </c>
      <c r="H897" s="2">
        <v>1.5</v>
      </c>
      <c r="I897" s="26">
        <v>0.77013888888888893</v>
      </c>
      <c r="J897" s="26">
        <v>0.8125</v>
      </c>
      <c r="K897" s="27">
        <f>Table3[[#This Row],[Delivery Time]]-Table3[[#This Row],[Order Time]]</f>
        <v>4.2361111111111072E-2</v>
      </c>
      <c r="L897" s="43">
        <v>61</v>
      </c>
      <c r="M897" s="25" t="s">
        <v>0</v>
      </c>
      <c r="N897" s="28"/>
      <c r="O897" s="28" t="s">
        <v>39</v>
      </c>
      <c r="P897" s="25" t="s">
        <v>20</v>
      </c>
    </row>
    <row r="898" spans="1:16" x14ac:dyDescent="0.25">
      <c r="A898" s="23">
        <f t="shared" si="56"/>
        <v>897</v>
      </c>
      <c r="B898" s="24">
        <v>43239</v>
      </c>
      <c r="C898" s="18" t="str">
        <f t="shared" si="53"/>
        <v>Saturday</v>
      </c>
      <c r="D898" s="10" t="str">
        <f t="shared" si="54"/>
        <v>Same</v>
      </c>
      <c r="E898" s="2">
        <v>63.76</v>
      </c>
      <c r="F898" s="2">
        <v>12</v>
      </c>
      <c r="G898" s="1">
        <f t="shared" si="55"/>
        <v>0.18820577164366376</v>
      </c>
      <c r="H898" s="2">
        <v>1.5</v>
      </c>
      <c r="I898" s="26">
        <v>0.8125</v>
      </c>
      <c r="J898" s="26">
        <v>0.83263888888888893</v>
      </c>
      <c r="K898" s="27">
        <f>Table3[[#This Row],[Delivery Time]]-Table3[[#This Row],[Order Time]]</f>
        <v>2.0138888888888928E-2</v>
      </c>
      <c r="L898" s="43">
        <v>29.000000000000004</v>
      </c>
      <c r="M898" s="25" t="s">
        <v>11</v>
      </c>
      <c r="N898" s="28"/>
      <c r="O898" s="28" t="s">
        <v>39</v>
      </c>
      <c r="P898" s="25" t="s">
        <v>20</v>
      </c>
    </row>
    <row r="899" spans="1:16" x14ac:dyDescent="0.25">
      <c r="A899" s="23">
        <f t="shared" si="56"/>
        <v>898</v>
      </c>
      <c r="B899" s="24">
        <v>43239</v>
      </c>
      <c r="C899" s="18" t="str">
        <f t="shared" si="53"/>
        <v>Saturday</v>
      </c>
      <c r="D899" s="10" t="str">
        <f t="shared" si="54"/>
        <v>Same</v>
      </c>
      <c r="E899" s="2">
        <v>71.77</v>
      </c>
      <c r="F899" s="2">
        <v>14</v>
      </c>
      <c r="G899" s="1">
        <f t="shared" si="55"/>
        <v>0.19506757698202593</v>
      </c>
      <c r="H899" s="2">
        <v>1.5</v>
      </c>
      <c r="I899" s="26">
        <v>0.8125</v>
      </c>
      <c r="J899" s="26">
        <v>0.83958333333333324</v>
      </c>
      <c r="K899" s="27">
        <f>Table3[[#This Row],[Delivery Time]]-Table3[[#This Row],[Order Time]]</f>
        <v>2.7083333333333237E-2</v>
      </c>
      <c r="L899" s="43">
        <v>39</v>
      </c>
      <c r="M899" s="25" t="s">
        <v>0</v>
      </c>
      <c r="N899" s="28"/>
      <c r="O899" s="28" t="s">
        <v>42</v>
      </c>
      <c r="P899" s="25" t="s">
        <v>20</v>
      </c>
    </row>
    <row r="900" spans="1:16" x14ac:dyDescent="0.25">
      <c r="A900" s="23">
        <f t="shared" si="56"/>
        <v>899</v>
      </c>
      <c r="B900" s="24">
        <v>43239</v>
      </c>
      <c r="C900" s="18" t="str">
        <f t="shared" si="53"/>
        <v>Saturday</v>
      </c>
      <c r="D900" s="10" t="str">
        <f t="shared" si="54"/>
        <v>Same</v>
      </c>
      <c r="E900" s="2">
        <v>59.7</v>
      </c>
      <c r="F900" s="2">
        <v>12</v>
      </c>
      <c r="G900" s="1">
        <f t="shared" si="55"/>
        <v>0.20100502512562812</v>
      </c>
      <c r="H900" s="2">
        <v>5</v>
      </c>
      <c r="I900" s="26">
        <v>0.81180555555555556</v>
      </c>
      <c r="J900" s="26">
        <v>0.84722222222222221</v>
      </c>
      <c r="K900" s="27">
        <f>Table3[[#This Row],[Delivery Time]]-Table3[[#This Row],[Order Time]]</f>
        <v>3.5416666666666652E-2</v>
      </c>
      <c r="L900" s="43">
        <v>51</v>
      </c>
      <c r="M900" s="25" t="s">
        <v>0</v>
      </c>
      <c r="N900" s="28"/>
      <c r="O900" s="28" t="s">
        <v>39</v>
      </c>
      <c r="P900" s="25" t="s">
        <v>20</v>
      </c>
    </row>
    <row r="901" spans="1:16" x14ac:dyDescent="0.25">
      <c r="A901" s="23">
        <f t="shared" si="56"/>
        <v>900</v>
      </c>
      <c r="B901" s="24">
        <v>43239</v>
      </c>
      <c r="C901" s="18" t="str">
        <f t="shared" si="53"/>
        <v>Saturday</v>
      </c>
      <c r="D901" s="10" t="str">
        <f t="shared" si="54"/>
        <v>Same</v>
      </c>
      <c r="E901" s="2">
        <v>29.77</v>
      </c>
      <c r="F901" s="2">
        <v>5</v>
      </c>
      <c r="G901" s="1">
        <f t="shared" si="55"/>
        <v>0.16795431642593214</v>
      </c>
      <c r="H901" s="2">
        <v>1.5</v>
      </c>
      <c r="I901" s="26">
        <v>0.84861111111111109</v>
      </c>
      <c r="J901" s="26">
        <v>0.87152777777777779</v>
      </c>
      <c r="K901" s="27">
        <f>Table3[[#This Row],[Delivery Time]]-Table3[[#This Row],[Order Time]]</f>
        <v>2.2916666666666696E-2</v>
      </c>
      <c r="L901" s="43">
        <v>33</v>
      </c>
      <c r="M901" s="25" t="s">
        <v>11</v>
      </c>
      <c r="N901" s="28"/>
      <c r="O901" s="28" t="s">
        <v>41</v>
      </c>
      <c r="P901" s="25" t="s">
        <v>20</v>
      </c>
    </row>
    <row r="902" spans="1:16" x14ac:dyDescent="0.25">
      <c r="A902" s="23">
        <f t="shared" si="56"/>
        <v>901</v>
      </c>
      <c r="B902" s="24">
        <v>43239</v>
      </c>
      <c r="C902" s="18" t="str">
        <f t="shared" ref="C902:C965" si="57">TEXT(B902,"dddd")</f>
        <v>Saturday</v>
      </c>
      <c r="D902" s="10" t="str">
        <f t="shared" ref="D902:D965" si="58">IF(B901=B902, "Same", "Different")</f>
        <v>Same</v>
      </c>
      <c r="E902" s="2">
        <v>41.08</v>
      </c>
      <c r="F902" s="2">
        <v>3.92</v>
      </c>
      <c r="G902" s="1">
        <f t="shared" ref="G902:G965" si="59">F902/E902</f>
        <v>9.5423563777994158E-2</v>
      </c>
      <c r="H902" s="2">
        <v>1.5</v>
      </c>
      <c r="I902" s="26">
        <v>0.86041666666666661</v>
      </c>
      <c r="J902" s="26">
        <v>0.89236111111111116</v>
      </c>
      <c r="K902" s="27">
        <f>Table3[[#This Row],[Delivery Time]]-Table3[[#This Row],[Order Time]]</f>
        <v>3.1944444444444553E-2</v>
      </c>
      <c r="L902" s="43">
        <v>46.000000000000007</v>
      </c>
      <c r="M902" s="25" t="s">
        <v>0</v>
      </c>
      <c r="N902" s="28"/>
      <c r="O902" s="28" t="s">
        <v>41</v>
      </c>
      <c r="P902" s="25" t="s">
        <v>20</v>
      </c>
    </row>
    <row r="903" spans="1:16" x14ac:dyDescent="0.25">
      <c r="A903" s="23">
        <f t="shared" si="56"/>
        <v>902</v>
      </c>
      <c r="B903" s="24">
        <v>43239</v>
      </c>
      <c r="C903" s="18" t="str">
        <f t="shared" si="57"/>
        <v>Saturday</v>
      </c>
      <c r="D903" s="10" t="str">
        <f t="shared" si="58"/>
        <v>Same</v>
      </c>
      <c r="E903" s="2">
        <v>22.14</v>
      </c>
      <c r="F903" s="2">
        <v>2</v>
      </c>
      <c r="G903" s="1">
        <f t="shared" si="59"/>
        <v>9.0334236675700091E-2</v>
      </c>
      <c r="H903" s="2">
        <v>1.5</v>
      </c>
      <c r="I903" s="26">
        <v>0.86319444444444438</v>
      </c>
      <c r="J903" s="26">
        <v>0.90138888888888891</v>
      </c>
      <c r="K903" s="27">
        <f>Table3[[#This Row],[Delivery Time]]-Table3[[#This Row],[Order Time]]</f>
        <v>3.8194444444444531E-2</v>
      </c>
      <c r="L903" s="43">
        <v>54.999999999999993</v>
      </c>
      <c r="M903" s="25" t="s">
        <v>0</v>
      </c>
      <c r="N903" s="28" t="s">
        <v>22</v>
      </c>
      <c r="O903" s="28" t="s">
        <v>39</v>
      </c>
      <c r="P903" s="25" t="s">
        <v>20</v>
      </c>
    </row>
    <row r="904" spans="1:16" x14ac:dyDescent="0.25">
      <c r="A904" s="23">
        <f t="shared" si="56"/>
        <v>903</v>
      </c>
      <c r="B904" s="24">
        <v>43240</v>
      </c>
      <c r="C904" s="18" t="str">
        <f t="shared" si="57"/>
        <v>Sunday</v>
      </c>
      <c r="D904" s="10" t="str">
        <f t="shared" si="58"/>
        <v>Different</v>
      </c>
      <c r="E904" s="2">
        <v>88.61</v>
      </c>
      <c r="F904" s="2">
        <v>10</v>
      </c>
      <c r="G904" s="1">
        <f t="shared" si="59"/>
        <v>0.11285407967498025</v>
      </c>
      <c r="H904" s="2">
        <v>5</v>
      </c>
      <c r="I904" s="26">
        <v>0.71805555555555556</v>
      </c>
      <c r="J904" s="26">
        <v>0.74652777777777779</v>
      </c>
      <c r="K904" s="27">
        <f>Table3[[#This Row],[Delivery Time]]-Table3[[#This Row],[Order Time]]</f>
        <v>2.8472222222222232E-2</v>
      </c>
      <c r="L904" s="43">
        <v>41</v>
      </c>
      <c r="M904" s="25" t="s">
        <v>1</v>
      </c>
      <c r="N904" s="28"/>
      <c r="O904" s="28" t="s">
        <v>39</v>
      </c>
      <c r="P904" s="25" t="s">
        <v>20</v>
      </c>
    </row>
    <row r="905" spans="1:16" x14ac:dyDescent="0.25">
      <c r="A905" s="23">
        <f t="shared" si="56"/>
        <v>904</v>
      </c>
      <c r="B905" s="24">
        <v>43240</v>
      </c>
      <c r="C905" s="18" t="str">
        <f t="shared" si="57"/>
        <v>Sunday</v>
      </c>
      <c r="D905" s="10" t="str">
        <f t="shared" si="58"/>
        <v>Same</v>
      </c>
      <c r="E905" s="2">
        <v>34.86</v>
      </c>
      <c r="F905" s="2">
        <v>7</v>
      </c>
      <c r="G905" s="1">
        <f t="shared" si="59"/>
        <v>0.20080321285140562</v>
      </c>
      <c r="H905" s="2">
        <v>1.5</v>
      </c>
      <c r="I905" s="26">
        <v>0.75694444444444453</v>
      </c>
      <c r="J905" s="26">
        <v>0.77708333333333324</v>
      </c>
      <c r="K905" s="27">
        <f>Table3[[#This Row],[Delivery Time]]-Table3[[#This Row],[Order Time]]</f>
        <v>2.0138888888888706E-2</v>
      </c>
      <c r="L905" s="43">
        <v>29.000000000000004</v>
      </c>
      <c r="M905" s="25" t="s">
        <v>0</v>
      </c>
      <c r="N905" s="28" t="s">
        <v>24</v>
      </c>
      <c r="O905" s="28" t="s">
        <v>39</v>
      </c>
      <c r="P905" s="25" t="s">
        <v>20</v>
      </c>
    </row>
    <row r="906" spans="1:16" x14ac:dyDescent="0.25">
      <c r="A906" s="23">
        <f t="shared" si="56"/>
        <v>905</v>
      </c>
      <c r="B906" s="24">
        <v>43240</v>
      </c>
      <c r="C906" s="18" t="str">
        <f t="shared" si="57"/>
        <v>Sunday</v>
      </c>
      <c r="D906" s="10" t="str">
        <f t="shared" si="58"/>
        <v>Same</v>
      </c>
      <c r="E906" s="2">
        <v>58.83</v>
      </c>
      <c r="F906" s="2">
        <v>13</v>
      </c>
      <c r="G906" s="1">
        <f t="shared" si="59"/>
        <v>0.2209756926738059</v>
      </c>
      <c r="H906" s="2">
        <v>1.5</v>
      </c>
      <c r="I906" s="26">
        <v>0.75902777777777775</v>
      </c>
      <c r="J906" s="26">
        <v>0.78680555555555554</v>
      </c>
      <c r="K906" s="27">
        <f>Table3[[#This Row],[Delivery Time]]-Table3[[#This Row],[Order Time]]</f>
        <v>2.777777777777779E-2</v>
      </c>
      <c r="L906" s="43">
        <v>40</v>
      </c>
      <c r="M906" s="25" t="s">
        <v>0</v>
      </c>
      <c r="N906" s="28"/>
      <c r="O906" s="28" t="s">
        <v>39</v>
      </c>
      <c r="P906" s="25" t="s">
        <v>20</v>
      </c>
    </row>
    <row r="907" spans="1:16" x14ac:dyDescent="0.25">
      <c r="A907" s="23">
        <f t="shared" si="56"/>
        <v>906</v>
      </c>
      <c r="B907" s="24">
        <v>43240</v>
      </c>
      <c r="C907" s="18" t="str">
        <f t="shared" si="57"/>
        <v>Sunday</v>
      </c>
      <c r="D907" s="10" t="str">
        <f t="shared" si="58"/>
        <v>Same</v>
      </c>
      <c r="E907" s="2">
        <v>37.35</v>
      </c>
      <c r="F907" s="2">
        <v>7</v>
      </c>
      <c r="G907" s="1">
        <f t="shared" si="59"/>
        <v>0.18741633199464525</v>
      </c>
      <c r="H907" s="2">
        <v>1.5</v>
      </c>
      <c r="I907" s="26">
        <v>0.7993055555555556</v>
      </c>
      <c r="J907" s="26">
        <v>0.8256944444444444</v>
      </c>
      <c r="K907" s="27">
        <f>Table3[[#This Row],[Delivery Time]]-Table3[[#This Row],[Order Time]]</f>
        <v>2.6388888888888795E-2</v>
      </c>
      <c r="L907" s="43">
        <v>38</v>
      </c>
      <c r="M907" s="25" t="s">
        <v>0</v>
      </c>
      <c r="N907" s="28" t="s">
        <v>26</v>
      </c>
      <c r="O907" s="28" t="s">
        <v>39</v>
      </c>
      <c r="P907" s="25" t="s">
        <v>20</v>
      </c>
    </row>
    <row r="908" spans="1:16" x14ac:dyDescent="0.25">
      <c r="A908" s="23">
        <f t="shared" si="56"/>
        <v>907</v>
      </c>
      <c r="B908" s="24">
        <v>43240</v>
      </c>
      <c r="C908" s="18" t="str">
        <f t="shared" si="57"/>
        <v>Sunday</v>
      </c>
      <c r="D908" s="10" t="str">
        <f t="shared" si="58"/>
        <v>Same</v>
      </c>
      <c r="E908" s="2">
        <v>64.569999999999993</v>
      </c>
      <c r="F908" s="2">
        <v>3</v>
      </c>
      <c r="G908" s="1">
        <f t="shared" si="59"/>
        <v>4.6461204893913588E-2</v>
      </c>
      <c r="H908" s="2">
        <v>1.5</v>
      </c>
      <c r="I908" s="26">
        <v>0.8027777777777777</v>
      </c>
      <c r="J908" s="26">
        <v>0.82986111111111116</v>
      </c>
      <c r="K908" s="27">
        <f>Table3[[#This Row],[Delivery Time]]-Table3[[#This Row],[Order Time]]</f>
        <v>2.7083333333333459E-2</v>
      </c>
      <c r="L908" s="43">
        <v>39</v>
      </c>
      <c r="M908" s="25" t="s">
        <v>0</v>
      </c>
      <c r="N908" s="28"/>
      <c r="O908" s="28" t="s">
        <v>39</v>
      </c>
      <c r="P908" s="25" t="s">
        <v>20</v>
      </c>
    </row>
    <row r="909" spans="1:16" x14ac:dyDescent="0.25">
      <c r="A909" s="23">
        <f t="shared" si="56"/>
        <v>908</v>
      </c>
      <c r="B909" s="24">
        <v>43240</v>
      </c>
      <c r="C909" s="18" t="str">
        <f t="shared" si="57"/>
        <v>Sunday</v>
      </c>
      <c r="D909" s="10" t="str">
        <f t="shared" si="58"/>
        <v>Same</v>
      </c>
      <c r="E909" s="2">
        <v>66.680000000000007</v>
      </c>
      <c r="F909" s="2">
        <v>13</v>
      </c>
      <c r="G909" s="1">
        <f t="shared" si="59"/>
        <v>0.19496100779844031</v>
      </c>
      <c r="H909" s="2">
        <v>5</v>
      </c>
      <c r="I909" s="26">
        <v>0.8027777777777777</v>
      </c>
      <c r="J909" s="26">
        <v>0.84097222222222223</v>
      </c>
      <c r="K909" s="27">
        <f>Table3[[#This Row],[Delivery Time]]-Table3[[#This Row],[Order Time]]</f>
        <v>3.8194444444444531E-2</v>
      </c>
      <c r="L909" s="43">
        <v>54.999999999999993</v>
      </c>
      <c r="M909" s="25" t="s">
        <v>0</v>
      </c>
      <c r="N909" s="28"/>
      <c r="O909" s="28" t="s">
        <v>39</v>
      </c>
      <c r="P909" s="25" t="s">
        <v>20</v>
      </c>
    </row>
    <row r="910" spans="1:16" x14ac:dyDescent="0.25">
      <c r="A910" s="23">
        <f t="shared" si="56"/>
        <v>909</v>
      </c>
      <c r="B910" s="24">
        <v>43240</v>
      </c>
      <c r="C910" s="18" t="str">
        <f t="shared" si="57"/>
        <v>Sunday</v>
      </c>
      <c r="D910" s="10" t="str">
        <f t="shared" si="58"/>
        <v>Same</v>
      </c>
      <c r="E910" s="2">
        <v>42.92</v>
      </c>
      <c r="F910" s="2">
        <v>3</v>
      </c>
      <c r="G910" s="1">
        <f t="shared" si="59"/>
        <v>6.9897483690587139E-2</v>
      </c>
      <c r="H910" s="2">
        <v>5</v>
      </c>
      <c r="I910" s="26">
        <v>0.8027777777777777</v>
      </c>
      <c r="J910" s="26">
        <v>0.84722222222222221</v>
      </c>
      <c r="K910" s="27">
        <f>Table3[[#This Row],[Delivery Time]]-Table3[[#This Row],[Order Time]]</f>
        <v>4.4444444444444509E-2</v>
      </c>
      <c r="L910" s="43">
        <v>64</v>
      </c>
      <c r="M910" s="25" t="s">
        <v>0</v>
      </c>
      <c r="N910" s="28"/>
      <c r="O910" s="28" t="s">
        <v>39</v>
      </c>
      <c r="P910" s="25" t="s">
        <v>20</v>
      </c>
    </row>
    <row r="911" spans="1:16" x14ac:dyDescent="0.25">
      <c r="A911" s="23">
        <f t="shared" si="56"/>
        <v>910</v>
      </c>
      <c r="B911" s="24">
        <v>43245</v>
      </c>
      <c r="C911" s="18" t="str">
        <f t="shared" si="57"/>
        <v>Friday</v>
      </c>
      <c r="D911" s="10" t="str">
        <f t="shared" si="58"/>
        <v>Different</v>
      </c>
      <c r="E911" s="2">
        <v>44.33</v>
      </c>
      <c r="F911" s="2">
        <v>7</v>
      </c>
      <c r="G911" s="1">
        <f t="shared" si="59"/>
        <v>0.15790660951951274</v>
      </c>
      <c r="H911" s="2">
        <v>1.5</v>
      </c>
      <c r="I911" s="26">
        <v>0.72499999999999998</v>
      </c>
      <c r="J911" s="26">
        <v>0.74861111111111101</v>
      </c>
      <c r="K911" s="27">
        <f>Table3[[#This Row],[Delivery Time]]-Table3[[#This Row],[Order Time]]</f>
        <v>2.3611111111111027E-2</v>
      </c>
      <c r="L911" s="43">
        <v>34</v>
      </c>
      <c r="M911" s="25" t="s">
        <v>0</v>
      </c>
      <c r="N911" s="28" t="s">
        <v>26</v>
      </c>
      <c r="O911" s="28" t="s">
        <v>39</v>
      </c>
      <c r="P911" s="25" t="s">
        <v>20</v>
      </c>
    </row>
    <row r="912" spans="1:16" x14ac:dyDescent="0.25">
      <c r="A912" s="23">
        <f t="shared" si="56"/>
        <v>911</v>
      </c>
      <c r="B912" s="24">
        <v>43245</v>
      </c>
      <c r="C912" s="18" t="str">
        <f t="shared" si="57"/>
        <v>Friday</v>
      </c>
      <c r="D912" s="10" t="str">
        <f t="shared" si="58"/>
        <v>Same</v>
      </c>
      <c r="E912" s="2">
        <v>41.57</v>
      </c>
      <c r="F912" s="2">
        <v>5</v>
      </c>
      <c r="G912" s="1">
        <f t="shared" si="59"/>
        <v>0.12027904738994467</v>
      </c>
      <c r="H912" s="2">
        <v>5</v>
      </c>
      <c r="I912" s="26">
        <v>0.72986111111111107</v>
      </c>
      <c r="J912" s="26">
        <v>0.76041666666666663</v>
      </c>
      <c r="K912" s="27">
        <f>Table3[[#This Row],[Delivery Time]]-Table3[[#This Row],[Order Time]]</f>
        <v>3.0555555555555558E-2</v>
      </c>
      <c r="L912" s="43">
        <v>44</v>
      </c>
      <c r="M912" s="25" t="s">
        <v>0</v>
      </c>
      <c r="N912" s="28"/>
      <c r="O912" s="28" t="s">
        <v>39</v>
      </c>
      <c r="P912" s="25" t="s">
        <v>20</v>
      </c>
    </row>
    <row r="913" spans="1:16" x14ac:dyDescent="0.25">
      <c r="A913" s="23">
        <f t="shared" si="56"/>
        <v>912</v>
      </c>
      <c r="B913" s="24">
        <v>43245</v>
      </c>
      <c r="C913" s="18" t="str">
        <f t="shared" si="57"/>
        <v>Friday</v>
      </c>
      <c r="D913" s="10" t="str">
        <f t="shared" si="58"/>
        <v>Same</v>
      </c>
      <c r="E913" s="2">
        <v>31.34</v>
      </c>
      <c r="F913" s="2">
        <v>7</v>
      </c>
      <c r="G913" s="1">
        <f t="shared" si="59"/>
        <v>0.22335673261008296</v>
      </c>
      <c r="H913" s="2">
        <v>1.5</v>
      </c>
      <c r="I913" s="26">
        <v>0.76874999999999993</v>
      </c>
      <c r="J913" s="26">
        <v>0.79999999999999993</v>
      </c>
      <c r="K913" s="27">
        <f>Table3[[#This Row],[Delivery Time]]-Table3[[#This Row],[Order Time]]</f>
        <v>3.125E-2</v>
      </c>
      <c r="L913" s="43">
        <v>45</v>
      </c>
      <c r="M913" s="25" t="s">
        <v>0</v>
      </c>
      <c r="N913" s="28"/>
      <c r="O913" s="28" t="s">
        <v>39</v>
      </c>
      <c r="P913" s="25" t="s">
        <v>20</v>
      </c>
    </row>
    <row r="914" spans="1:16" x14ac:dyDescent="0.25">
      <c r="A914" s="23">
        <f t="shared" si="56"/>
        <v>913</v>
      </c>
      <c r="B914" s="24">
        <v>43245</v>
      </c>
      <c r="C914" s="18" t="str">
        <f t="shared" si="57"/>
        <v>Friday</v>
      </c>
      <c r="D914" s="10" t="str">
        <f t="shared" si="58"/>
        <v>Same</v>
      </c>
      <c r="E914" s="2">
        <v>35.72</v>
      </c>
      <c r="F914" s="2">
        <v>4</v>
      </c>
      <c r="G914" s="1">
        <f t="shared" si="59"/>
        <v>0.11198208286674133</v>
      </c>
      <c r="H914" s="2">
        <v>1.5</v>
      </c>
      <c r="I914" s="26">
        <v>0.7729166666666667</v>
      </c>
      <c r="J914" s="26">
        <v>0.80208333333333337</v>
      </c>
      <c r="K914" s="27">
        <f>Table3[[#This Row],[Delivery Time]]-Table3[[#This Row],[Order Time]]</f>
        <v>2.9166666666666674E-2</v>
      </c>
      <c r="L914" s="43">
        <v>42</v>
      </c>
      <c r="M914" s="25" t="s">
        <v>0</v>
      </c>
      <c r="N914" s="28"/>
      <c r="O914" s="28" t="s">
        <v>39</v>
      </c>
      <c r="P914" s="25" t="s">
        <v>20</v>
      </c>
    </row>
    <row r="915" spans="1:16" x14ac:dyDescent="0.25">
      <c r="A915" s="23">
        <f t="shared" si="56"/>
        <v>914</v>
      </c>
      <c r="B915" s="24">
        <v>43245</v>
      </c>
      <c r="C915" s="18" t="str">
        <f t="shared" si="57"/>
        <v>Friday</v>
      </c>
      <c r="D915" s="10" t="str">
        <f t="shared" si="58"/>
        <v>Same</v>
      </c>
      <c r="E915" s="2">
        <v>39.94</v>
      </c>
      <c r="F915" s="2">
        <v>9.06</v>
      </c>
      <c r="G915" s="1">
        <f t="shared" si="59"/>
        <v>0.22684026039058591</v>
      </c>
      <c r="H915" s="2">
        <v>1.5</v>
      </c>
      <c r="I915" s="26">
        <v>0.78194444444444444</v>
      </c>
      <c r="J915" s="26">
        <v>0.80902777777777779</v>
      </c>
      <c r="K915" s="27">
        <f>Table3[[#This Row],[Delivery Time]]-Table3[[#This Row],[Order Time]]</f>
        <v>2.7083333333333348E-2</v>
      </c>
      <c r="L915" s="43">
        <v>39</v>
      </c>
      <c r="M915" s="25" t="s">
        <v>0</v>
      </c>
      <c r="N915" s="28" t="s">
        <v>22</v>
      </c>
      <c r="O915" s="28" t="s">
        <v>39</v>
      </c>
      <c r="P915" s="25" t="s">
        <v>20</v>
      </c>
    </row>
    <row r="916" spans="1:16" x14ac:dyDescent="0.25">
      <c r="A916" s="23">
        <f t="shared" si="56"/>
        <v>915</v>
      </c>
      <c r="B916" s="24">
        <v>43245</v>
      </c>
      <c r="C916" s="18" t="str">
        <f t="shared" si="57"/>
        <v>Friday</v>
      </c>
      <c r="D916" s="10" t="str">
        <f t="shared" si="58"/>
        <v>Same</v>
      </c>
      <c r="E916" s="2">
        <v>38.590000000000003</v>
      </c>
      <c r="F916" s="2">
        <v>4</v>
      </c>
      <c r="G916" s="1">
        <f t="shared" si="59"/>
        <v>0.10365379632029022</v>
      </c>
      <c r="H916" s="2">
        <v>1.5</v>
      </c>
      <c r="I916" s="26">
        <v>0.76736111111111116</v>
      </c>
      <c r="J916" s="26">
        <v>0.81527777777777777</v>
      </c>
      <c r="K916" s="27">
        <f>Table3[[#This Row],[Delivery Time]]-Table3[[#This Row],[Order Time]]</f>
        <v>4.7916666666666607E-2</v>
      </c>
      <c r="L916" s="43">
        <v>69</v>
      </c>
      <c r="M916" s="25" t="s">
        <v>0</v>
      </c>
      <c r="N916" s="28"/>
      <c r="O916" s="28" t="s">
        <v>39</v>
      </c>
      <c r="P916" s="25" t="s">
        <v>20</v>
      </c>
    </row>
    <row r="917" spans="1:16" x14ac:dyDescent="0.25">
      <c r="A917" s="23">
        <f t="shared" si="56"/>
        <v>916</v>
      </c>
      <c r="B917" s="24">
        <v>43245</v>
      </c>
      <c r="C917" s="18" t="str">
        <f t="shared" si="57"/>
        <v>Friday</v>
      </c>
      <c r="D917" s="10" t="str">
        <f t="shared" si="58"/>
        <v>Same</v>
      </c>
      <c r="E917" s="2">
        <v>117.23</v>
      </c>
      <c r="F917" s="2">
        <v>10</v>
      </c>
      <c r="G917" s="1">
        <f t="shared" si="59"/>
        <v>8.5302396997355617E-2</v>
      </c>
      <c r="H917" s="2">
        <v>1.5</v>
      </c>
      <c r="I917" s="26">
        <v>0.77638888888888891</v>
      </c>
      <c r="J917" s="26">
        <v>0.82152777777777775</v>
      </c>
      <c r="K917" s="27">
        <f>Table3[[#This Row],[Delivery Time]]-Table3[[#This Row],[Order Time]]</f>
        <v>4.513888888888884E-2</v>
      </c>
      <c r="L917" s="43">
        <v>65</v>
      </c>
      <c r="M917" s="25" t="s">
        <v>0</v>
      </c>
      <c r="N917" s="28"/>
      <c r="O917" s="28" t="s">
        <v>39</v>
      </c>
      <c r="P917" s="25" t="s">
        <v>20</v>
      </c>
    </row>
    <row r="918" spans="1:16" x14ac:dyDescent="0.25">
      <c r="A918" s="23">
        <f t="shared" si="56"/>
        <v>917</v>
      </c>
      <c r="B918" s="24">
        <v>43245</v>
      </c>
      <c r="C918" s="18" t="str">
        <f t="shared" si="57"/>
        <v>Friday</v>
      </c>
      <c r="D918" s="10" t="str">
        <f t="shared" si="58"/>
        <v>Same</v>
      </c>
      <c r="E918" s="2">
        <v>35.18</v>
      </c>
      <c r="F918" s="2">
        <v>5.82</v>
      </c>
      <c r="G918" s="1">
        <f t="shared" si="59"/>
        <v>0.16543490619670267</v>
      </c>
      <c r="H918" s="2">
        <v>1.5</v>
      </c>
      <c r="I918" s="26">
        <v>0.82986111111111116</v>
      </c>
      <c r="J918" s="26">
        <v>0.85833333333333339</v>
      </c>
      <c r="K918" s="27">
        <f>Table3[[#This Row],[Delivery Time]]-Table3[[#This Row],[Order Time]]</f>
        <v>2.8472222222222232E-2</v>
      </c>
      <c r="L918" s="43">
        <v>41</v>
      </c>
      <c r="M918" s="25" t="s">
        <v>0</v>
      </c>
      <c r="N918" s="28"/>
      <c r="O918" s="28" t="s">
        <v>39</v>
      </c>
      <c r="P918" s="25" t="s">
        <v>20</v>
      </c>
    </row>
    <row r="919" spans="1:16" x14ac:dyDescent="0.25">
      <c r="A919" s="23">
        <f t="shared" si="56"/>
        <v>918</v>
      </c>
      <c r="B919" s="24">
        <v>43246</v>
      </c>
      <c r="C919" s="18" t="str">
        <f t="shared" si="57"/>
        <v>Saturday</v>
      </c>
      <c r="D919" s="10" t="str">
        <f t="shared" si="58"/>
        <v>Different</v>
      </c>
      <c r="E919" s="2">
        <v>93.64</v>
      </c>
      <c r="F919" s="2">
        <v>5</v>
      </c>
      <c r="G919" s="1">
        <f t="shared" si="59"/>
        <v>5.3395984621956431E-2</v>
      </c>
      <c r="H919" s="2">
        <v>1.5</v>
      </c>
      <c r="I919" s="26">
        <v>0.77083333333333337</v>
      </c>
      <c r="J919" s="26">
        <v>0.77083333333333337</v>
      </c>
      <c r="K919" s="27">
        <f>Table3[[#This Row],[Delivery Time]]-Table3[[#This Row],[Order Time]]</f>
        <v>0</v>
      </c>
      <c r="L919" s="43">
        <v>0</v>
      </c>
      <c r="M919" s="25" t="s">
        <v>11</v>
      </c>
      <c r="N919" s="28"/>
      <c r="O919" s="28" t="s">
        <v>42</v>
      </c>
      <c r="P919" s="25" t="s">
        <v>16</v>
      </c>
    </row>
    <row r="920" spans="1:16" x14ac:dyDescent="0.25">
      <c r="A920" s="23">
        <f t="shared" ref="A920:A983" si="60">ROW(A919)</f>
        <v>919</v>
      </c>
      <c r="B920" s="24">
        <v>43246</v>
      </c>
      <c r="C920" s="18" t="str">
        <f t="shared" si="57"/>
        <v>Saturday</v>
      </c>
      <c r="D920" s="10" t="str">
        <f t="shared" si="58"/>
        <v>Same</v>
      </c>
      <c r="E920" s="2">
        <v>39.94</v>
      </c>
      <c r="F920" s="2">
        <v>5</v>
      </c>
      <c r="G920" s="1">
        <f t="shared" si="59"/>
        <v>0.12518778167250877</v>
      </c>
      <c r="H920" s="2">
        <v>1.5</v>
      </c>
      <c r="I920" s="26">
        <v>0.75763888888888886</v>
      </c>
      <c r="J920" s="26">
        <v>0.78541666666666676</v>
      </c>
      <c r="K920" s="27">
        <f>Table3[[#This Row],[Delivery Time]]-Table3[[#This Row],[Order Time]]</f>
        <v>2.7777777777777901E-2</v>
      </c>
      <c r="L920" s="43">
        <v>40</v>
      </c>
      <c r="M920" s="25" t="s">
        <v>11</v>
      </c>
      <c r="N920" s="28"/>
      <c r="O920" s="28" t="s">
        <v>39</v>
      </c>
      <c r="P920" s="25" t="s">
        <v>20</v>
      </c>
    </row>
    <row r="921" spans="1:16" x14ac:dyDescent="0.25">
      <c r="A921" s="23">
        <f t="shared" si="60"/>
        <v>920</v>
      </c>
      <c r="B921" s="24">
        <v>43246</v>
      </c>
      <c r="C921" s="18" t="str">
        <f t="shared" si="57"/>
        <v>Saturday</v>
      </c>
      <c r="D921" s="10" t="str">
        <f t="shared" si="58"/>
        <v>Same</v>
      </c>
      <c r="E921" s="2">
        <v>47.58</v>
      </c>
      <c r="F921" s="2">
        <v>6</v>
      </c>
      <c r="G921" s="1">
        <f t="shared" si="59"/>
        <v>0.12610340479192939</v>
      </c>
      <c r="H921" s="2">
        <v>1.5</v>
      </c>
      <c r="I921" s="26">
        <v>0.77569444444444446</v>
      </c>
      <c r="J921" s="26">
        <v>0.80694444444444446</v>
      </c>
      <c r="K921" s="27">
        <f>Table3[[#This Row],[Delivery Time]]-Table3[[#This Row],[Order Time]]</f>
        <v>3.125E-2</v>
      </c>
      <c r="L921" s="43">
        <v>45</v>
      </c>
      <c r="M921" s="25" t="s">
        <v>11</v>
      </c>
      <c r="N921" s="28"/>
      <c r="O921" s="28" t="s">
        <v>39</v>
      </c>
      <c r="P921" s="25" t="s">
        <v>20</v>
      </c>
    </row>
    <row r="922" spans="1:16" x14ac:dyDescent="0.25">
      <c r="A922" s="23">
        <f t="shared" si="60"/>
        <v>921</v>
      </c>
      <c r="B922" s="24">
        <v>43246</v>
      </c>
      <c r="C922" s="18" t="str">
        <f t="shared" si="57"/>
        <v>Saturday</v>
      </c>
      <c r="D922" s="10" t="str">
        <f t="shared" si="58"/>
        <v>Same</v>
      </c>
      <c r="E922" s="2">
        <v>31.12</v>
      </c>
      <c r="F922" s="2">
        <v>15</v>
      </c>
      <c r="G922" s="1">
        <f t="shared" si="59"/>
        <v>0.4820051413881748</v>
      </c>
      <c r="H922" s="2">
        <v>1.5</v>
      </c>
      <c r="I922" s="26">
        <v>0.77708333333333324</v>
      </c>
      <c r="J922" s="26">
        <v>0.81180555555555556</v>
      </c>
      <c r="K922" s="27">
        <f>Table3[[#This Row],[Delivery Time]]-Table3[[#This Row],[Order Time]]</f>
        <v>3.4722222222222321E-2</v>
      </c>
      <c r="L922" s="43">
        <v>50</v>
      </c>
      <c r="M922" s="25" t="s">
        <v>11</v>
      </c>
      <c r="N922" s="28"/>
      <c r="O922" s="28" t="s">
        <v>39</v>
      </c>
      <c r="P922" s="25" t="s">
        <v>20</v>
      </c>
    </row>
    <row r="923" spans="1:16" x14ac:dyDescent="0.25">
      <c r="A923" s="23">
        <f t="shared" si="60"/>
        <v>922</v>
      </c>
      <c r="B923" s="24">
        <v>43246</v>
      </c>
      <c r="C923" s="18" t="str">
        <f t="shared" si="57"/>
        <v>Saturday</v>
      </c>
      <c r="D923" s="10" t="str">
        <f t="shared" si="58"/>
        <v>Same</v>
      </c>
      <c r="E923" s="2">
        <v>25.71</v>
      </c>
      <c r="F923" s="2">
        <v>5</v>
      </c>
      <c r="G923" s="1">
        <f t="shared" si="59"/>
        <v>0.19447685725398678</v>
      </c>
      <c r="H923" s="2">
        <v>1.5</v>
      </c>
      <c r="I923" s="26">
        <v>0.7909722222222223</v>
      </c>
      <c r="J923" s="26">
        <v>0.81805555555555554</v>
      </c>
      <c r="K923" s="27">
        <f>Table3[[#This Row],[Delivery Time]]-Table3[[#This Row],[Order Time]]</f>
        <v>2.7083333333333237E-2</v>
      </c>
      <c r="L923" s="43">
        <v>39</v>
      </c>
      <c r="M923" s="25" t="s">
        <v>12</v>
      </c>
      <c r="N923" s="28"/>
      <c r="O923" s="28" t="s">
        <v>39</v>
      </c>
      <c r="P923" s="25" t="s">
        <v>20</v>
      </c>
    </row>
    <row r="924" spans="1:16" x14ac:dyDescent="0.25">
      <c r="A924" s="23">
        <f t="shared" si="60"/>
        <v>923</v>
      </c>
      <c r="B924" s="24">
        <v>43247</v>
      </c>
      <c r="C924" s="18" t="str">
        <f t="shared" si="57"/>
        <v>Sunday</v>
      </c>
      <c r="D924" s="10" t="str">
        <f t="shared" si="58"/>
        <v>Different</v>
      </c>
      <c r="E924" s="2">
        <v>22.95</v>
      </c>
      <c r="F924" s="2">
        <v>5</v>
      </c>
      <c r="G924" s="1">
        <f t="shared" si="59"/>
        <v>0.2178649237472767</v>
      </c>
      <c r="H924" s="2">
        <v>1.5</v>
      </c>
      <c r="I924" s="26">
        <v>0.71388888888888891</v>
      </c>
      <c r="J924" s="26">
        <v>0.73611111111111116</v>
      </c>
      <c r="K924" s="27">
        <f>Table3[[#This Row],[Delivery Time]]-Table3[[#This Row],[Order Time]]</f>
        <v>2.2222222222222254E-2</v>
      </c>
      <c r="L924" s="43">
        <v>32</v>
      </c>
      <c r="M924" s="25" t="s">
        <v>0</v>
      </c>
      <c r="N924" s="28"/>
      <c r="O924" s="28" t="s">
        <v>42</v>
      </c>
      <c r="P924" s="25" t="s">
        <v>20</v>
      </c>
    </row>
    <row r="925" spans="1:16" x14ac:dyDescent="0.25">
      <c r="A925" s="23">
        <f t="shared" si="60"/>
        <v>924</v>
      </c>
      <c r="B925" s="24">
        <v>43247</v>
      </c>
      <c r="C925" s="18" t="str">
        <f t="shared" si="57"/>
        <v>Sunday</v>
      </c>
      <c r="D925" s="10" t="str">
        <f t="shared" si="58"/>
        <v>Same</v>
      </c>
      <c r="E925" s="2">
        <v>51.58</v>
      </c>
      <c r="F925" s="2">
        <v>6</v>
      </c>
      <c r="G925" s="1">
        <f t="shared" si="59"/>
        <v>0.1163241566498643</v>
      </c>
      <c r="H925" s="2">
        <v>5</v>
      </c>
      <c r="I925" s="26">
        <v>0.75208333333333333</v>
      </c>
      <c r="J925" s="26">
        <v>0.78680555555555554</v>
      </c>
      <c r="K925" s="27">
        <f>Table3[[#This Row],[Delivery Time]]-Table3[[#This Row],[Order Time]]</f>
        <v>3.472222222222221E-2</v>
      </c>
      <c r="L925" s="43">
        <v>50</v>
      </c>
      <c r="M925" s="25" t="s">
        <v>0</v>
      </c>
      <c r="N925" s="28"/>
      <c r="O925" s="28" t="s">
        <v>39</v>
      </c>
      <c r="P925" s="25" t="s">
        <v>20</v>
      </c>
    </row>
    <row r="926" spans="1:16" x14ac:dyDescent="0.25">
      <c r="A926" s="23">
        <f t="shared" si="60"/>
        <v>925</v>
      </c>
      <c r="B926" s="24">
        <v>43247</v>
      </c>
      <c r="C926" s="18" t="str">
        <f t="shared" si="57"/>
        <v>Sunday</v>
      </c>
      <c r="D926" s="10" t="str">
        <f t="shared" si="58"/>
        <v>Same</v>
      </c>
      <c r="E926" s="2">
        <v>8.77</v>
      </c>
      <c r="F926" s="2">
        <v>6.23</v>
      </c>
      <c r="G926" s="1">
        <f t="shared" si="59"/>
        <v>0.71037628278221221</v>
      </c>
      <c r="H926" s="2">
        <v>1.5</v>
      </c>
      <c r="I926" s="26">
        <v>0.82847222222222217</v>
      </c>
      <c r="J926" s="26">
        <v>0.8569444444444444</v>
      </c>
      <c r="K926" s="27">
        <f>Table3[[#This Row],[Delivery Time]]-Table3[[#This Row],[Order Time]]</f>
        <v>2.8472222222222232E-2</v>
      </c>
      <c r="L926" s="43">
        <v>41</v>
      </c>
      <c r="M926" s="25" t="s">
        <v>0</v>
      </c>
      <c r="N926" s="28" t="s">
        <v>24</v>
      </c>
      <c r="O926" s="28" t="s">
        <v>39</v>
      </c>
      <c r="P926" s="25" t="s">
        <v>20</v>
      </c>
    </row>
    <row r="927" spans="1:16" x14ac:dyDescent="0.25">
      <c r="A927" s="23">
        <f t="shared" si="60"/>
        <v>926</v>
      </c>
      <c r="B927" s="24">
        <v>43247</v>
      </c>
      <c r="C927" s="18" t="str">
        <f t="shared" si="57"/>
        <v>Sunday</v>
      </c>
      <c r="D927" s="10" t="str">
        <f t="shared" si="58"/>
        <v>Same</v>
      </c>
      <c r="E927" s="2">
        <v>21.65</v>
      </c>
      <c r="F927" s="2">
        <v>4</v>
      </c>
      <c r="G927" s="1">
        <f t="shared" si="59"/>
        <v>0.18475750577367206</v>
      </c>
      <c r="H927" s="2">
        <v>1.5</v>
      </c>
      <c r="I927" s="26">
        <v>0.83819444444444446</v>
      </c>
      <c r="J927" s="26">
        <v>0.86875000000000002</v>
      </c>
      <c r="K927" s="27">
        <f>Table3[[#This Row],[Delivery Time]]-Table3[[#This Row],[Order Time]]</f>
        <v>3.0555555555555558E-2</v>
      </c>
      <c r="L927" s="43">
        <v>44</v>
      </c>
      <c r="M927" s="25" t="s">
        <v>0</v>
      </c>
      <c r="N927" s="28"/>
      <c r="O927" s="28" t="s">
        <v>41</v>
      </c>
      <c r="P927" s="25" t="s">
        <v>20</v>
      </c>
    </row>
    <row r="928" spans="1:16" x14ac:dyDescent="0.25">
      <c r="A928" s="23">
        <f t="shared" si="60"/>
        <v>927</v>
      </c>
      <c r="B928" s="24">
        <v>43247</v>
      </c>
      <c r="C928" s="18" t="str">
        <f t="shared" si="57"/>
        <v>Sunday</v>
      </c>
      <c r="D928" s="10" t="str">
        <f t="shared" si="58"/>
        <v>Same</v>
      </c>
      <c r="E928" s="2">
        <v>38.369999999999997</v>
      </c>
      <c r="F928" s="2">
        <v>12</v>
      </c>
      <c r="G928" s="1">
        <f t="shared" si="59"/>
        <v>0.31274433150899145</v>
      </c>
      <c r="H928" s="2">
        <v>5</v>
      </c>
      <c r="I928" s="26">
        <v>0.83472222222222225</v>
      </c>
      <c r="J928" s="26">
        <v>0.87847222222222221</v>
      </c>
      <c r="K928" s="27">
        <f>Table3[[#This Row],[Delivery Time]]-Table3[[#This Row],[Order Time]]</f>
        <v>4.3749999999999956E-2</v>
      </c>
      <c r="L928" s="43">
        <v>63</v>
      </c>
      <c r="M928" s="25" t="s">
        <v>12</v>
      </c>
      <c r="N928" s="28"/>
      <c r="O928" s="28" t="s">
        <v>39</v>
      </c>
      <c r="P928" s="25" t="s">
        <v>20</v>
      </c>
    </row>
    <row r="929" spans="1:16" x14ac:dyDescent="0.25">
      <c r="A929" s="23">
        <f t="shared" si="60"/>
        <v>928</v>
      </c>
      <c r="B929" s="24">
        <v>43247</v>
      </c>
      <c r="C929" s="18" t="str">
        <f t="shared" si="57"/>
        <v>Sunday</v>
      </c>
      <c r="D929" s="10" t="str">
        <f t="shared" si="58"/>
        <v>Same</v>
      </c>
      <c r="E929" s="2">
        <v>49.47</v>
      </c>
      <c r="F929" s="2">
        <v>7.53</v>
      </c>
      <c r="G929" s="1">
        <f t="shared" si="59"/>
        <v>0.15221346270466951</v>
      </c>
      <c r="H929" s="2">
        <v>1.5</v>
      </c>
      <c r="I929" s="26">
        <v>0.89027777777777783</v>
      </c>
      <c r="J929" s="26">
        <v>0.90902777777777777</v>
      </c>
      <c r="K929" s="27">
        <f>Table3[[#This Row],[Delivery Time]]-Table3[[#This Row],[Order Time]]</f>
        <v>1.8749999999999933E-2</v>
      </c>
      <c r="L929" s="43">
        <v>26.999999999999996</v>
      </c>
      <c r="M929" s="25" t="s">
        <v>11</v>
      </c>
      <c r="N929" s="28"/>
      <c r="O929" s="28" t="s">
        <v>39</v>
      </c>
      <c r="P929" s="25" t="s">
        <v>20</v>
      </c>
    </row>
    <row r="930" spans="1:16" x14ac:dyDescent="0.25">
      <c r="A930" s="23">
        <f t="shared" si="60"/>
        <v>929</v>
      </c>
      <c r="B930" s="24">
        <v>43248</v>
      </c>
      <c r="C930" s="18" t="str">
        <f t="shared" si="57"/>
        <v>Monday</v>
      </c>
      <c r="D930" s="10" t="str">
        <f t="shared" si="58"/>
        <v>Different</v>
      </c>
      <c r="E930" s="2">
        <v>28.52</v>
      </c>
      <c r="F930" s="2">
        <v>10</v>
      </c>
      <c r="G930" s="1">
        <f t="shared" si="59"/>
        <v>0.35063113604488078</v>
      </c>
      <c r="H930" s="2">
        <v>1.5</v>
      </c>
      <c r="I930" s="26">
        <v>0.68541666666666667</v>
      </c>
      <c r="J930" s="26">
        <v>0.70486111111111116</v>
      </c>
      <c r="K930" s="27">
        <f>Table3[[#This Row],[Delivery Time]]-Table3[[#This Row],[Order Time]]</f>
        <v>1.9444444444444486E-2</v>
      </c>
      <c r="L930" s="43">
        <v>28</v>
      </c>
      <c r="M930" s="25" t="s">
        <v>11</v>
      </c>
      <c r="N930" s="28"/>
      <c r="O930" s="28" t="s">
        <v>40</v>
      </c>
      <c r="P930" s="25" t="s">
        <v>20</v>
      </c>
    </row>
    <row r="931" spans="1:16" x14ac:dyDescent="0.25">
      <c r="A931" s="23">
        <f t="shared" si="60"/>
        <v>930</v>
      </c>
      <c r="B931" s="24">
        <v>43248</v>
      </c>
      <c r="C931" s="18" t="str">
        <f t="shared" si="57"/>
        <v>Monday</v>
      </c>
      <c r="D931" s="10" t="str">
        <f t="shared" si="58"/>
        <v>Same</v>
      </c>
      <c r="E931" s="2">
        <v>33.5</v>
      </c>
      <c r="F931" s="2">
        <v>6</v>
      </c>
      <c r="G931" s="1">
        <f t="shared" si="59"/>
        <v>0.17910447761194029</v>
      </c>
      <c r="H931" s="2">
        <v>1.5</v>
      </c>
      <c r="I931" s="26">
        <v>0.68333333333333324</v>
      </c>
      <c r="J931" s="26">
        <v>0.71388888888888891</v>
      </c>
      <c r="K931" s="27">
        <f>Table3[[#This Row],[Delivery Time]]-Table3[[#This Row],[Order Time]]</f>
        <v>3.0555555555555669E-2</v>
      </c>
      <c r="L931" s="43">
        <v>44</v>
      </c>
      <c r="M931" s="25" t="s">
        <v>36</v>
      </c>
      <c r="N931" s="28"/>
      <c r="O931" s="28" t="s">
        <v>39</v>
      </c>
      <c r="P931" s="25" t="s">
        <v>20</v>
      </c>
    </row>
    <row r="932" spans="1:16" x14ac:dyDescent="0.25">
      <c r="A932" s="23">
        <f t="shared" si="60"/>
        <v>931</v>
      </c>
      <c r="B932" s="24">
        <v>43248</v>
      </c>
      <c r="C932" s="18" t="str">
        <f t="shared" si="57"/>
        <v>Monday</v>
      </c>
      <c r="D932" s="10" t="str">
        <f t="shared" si="58"/>
        <v>Same</v>
      </c>
      <c r="E932" s="2">
        <v>19.21</v>
      </c>
      <c r="F932" s="2">
        <v>4.79</v>
      </c>
      <c r="G932" s="1">
        <f t="shared" si="59"/>
        <v>0.24934929724102028</v>
      </c>
      <c r="H932" s="2">
        <v>1.5</v>
      </c>
      <c r="I932" s="26">
        <v>0.73055555555555562</v>
      </c>
      <c r="J932" s="26">
        <v>0.74861111111111101</v>
      </c>
      <c r="K932" s="27">
        <f>Table3[[#This Row],[Delivery Time]]-Table3[[#This Row],[Order Time]]</f>
        <v>1.805555555555538E-2</v>
      </c>
      <c r="L932" s="43">
        <v>26</v>
      </c>
      <c r="M932" s="25" t="s">
        <v>0</v>
      </c>
      <c r="N932" s="28" t="s">
        <v>25</v>
      </c>
      <c r="O932" s="28" t="s">
        <v>39</v>
      </c>
      <c r="P932" s="25" t="s">
        <v>20</v>
      </c>
    </row>
    <row r="933" spans="1:16" x14ac:dyDescent="0.25">
      <c r="A933" s="23">
        <f t="shared" si="60"/>
        <v>932</v>
      </c>
      <c r="B933" s="24">
        <v>43248</v>
      </c>
      <c r="C933" s="18" t="str">
        <f t="shared" si="57"/>
        <v>Monday</v>
      </c>
      <c r="D933" s="10" t="str">
        <f t="shared" si="58"/>
        <v>Same</v>
      </c>
      <c r="E933" s="2">
        <v>130.77000000000001</v>
      </c>
      <c r="F933" s="2">
        <v>20</v>
      </c>
      <c r="G933" s="1">
        <f t="shared" si="59"/>
        <v>0.15294027682190103</v>
      </c>
      <c r="H933" s="2">
        <v>1.5</v>
      </c>
      <c r="I933" s="26">
        <v>0.72569444444444453</v>
      </c>
      <c r="J933" s="26">
        <v>0.76388888888888884</v>
      </c>
      <c r="K933" s="27">
        <f>Table3[[#This Row],[Delivery Time]]-Table3[[#This Row],[Order Time]]</f>
        <v>3.8194444444444309E-2</v>
      </c>
      <c r="L933" s="43">
        <v>54.999999999999993</v>
      </c>
      <c r="M933" s="25" t="s">
        <v>0</v>
      </c>
      <c r="N933" s="28" t="s">
        <v>22</v>
      </c>
      <c r="O933" s="28" t="s">
        <v>39</v>
      </c>
      <c r="P933" s="25" t="s">
        <v>20</v>
      </c>
    </row>
    <row r="934" spans="1:16" x14ac:dyDescent="0.25">
      <c r="A934" s="23">
        <f t="shared" si="60"/>
        <v>933</v>
      </c>
      <c r="B934" s="24">
        <v>43248</v>
      </c>
      <c r="C934" s="18" t="str">
        <f t="shared" si="57"/>
        <v>Monday</v>
      </c>
      <c r="D934" s="10" t="str">
        <f t="shared" si="58"/>
        <v>Same</v>
      </c>
      <c r="E934" s="2">
        <v>51.04</v>
      </c>
      <c r="F934" s="2">
        <v>4</v>
      </c>
      <c r="G934" s="1">
        <f t="shared" si="59"/>
        <v>7.8369905956112859E-2</v>
      </c>
      <c r="H934" s="2">
        <v>5</v>
      </c>
      <c r="I934" s="26">
        <v>0.73125000000000007</v>
      </c>
      <c r="J934" s="26">
        <v>0.77430555555555547</v>
      </c>
      <c r="K934" s="27">
        <f>Table3[[#This Row],[Delivery Time]]-Table3[[#This Row],[Order Time]]</f>
        <v>4.3055555555555403E-2</v>
      </c>
      <c r="L934" s="43">
        <v>62.000000000000007</v>
      </c>
      <c r="M934" s="25" t="s">
        <v>0</v>
      </c>
      <c r="N934" s="28"/>
      <c r="O934" s="28" t="s">
        <v>39</v>
      </c>
      <c r="P934" s="25" t="s">
        <v>20</v>
      </c>
    </row>
    <row r="935" spans="1:16" x14ac:dyDescent="0.25">
      <c r="A935" s="23">
        <f t="shared" si="60"/>
        <v>934</v>
      </c>
      <c r="B935" s="24">
        <v>43248</v>
      </c>
      <c r="C935" s="18" t="str">
        <f t="shared" si="57"/>
        <v>Monday</v>
      </c>
      <c r="D935" s="10" t="str">
        <f t="shared" si="58"/>
        <v>Same</v>
      </c>
      <c r="E935" s="2">
        <v>51.91</v>
      </c>
      <c r="F935" s="2">
        <v>6</v>
      </c>
      <c r="G935" s="1">
        <f t="shared" si="59"/>
        <v>0.11558466576767483</v>
      </c>
      <c r="H935" s="2">
        <v>1.5</v>
      </c>
      <c r="I935" s="26">
        <v>0.77777777777777779</v>
      </c>
      <c r="J935" s="26">
        <v>0.80347222222222225</v>
      </c>
      <c r="K935" s="27">
        <f>Table3[[#This Row],[Delivery Time]]-Table3[[#This Row],[Order Time]]</f>
        <v>2.5694444444444464E-2</v>
      </c>
      <c r="L935" s="43">
        <v>37</v>
      </c>
      <c r="M935" s="25" t="s">
        <v>0</v>
      </c>
      <c r="N935" s="28" t="s">
        <v>26</v>
      </c>
      <c r="O935" s="28" t="s">
        <v>39</v>
      </c>
      <c r="P935" s="25" t="s">
        <v>20</v>
      </c>
    </row>
    <row r="936" spans="1:16" x14ac:dyDescent="0.25">
      <c r="A936" s="23">
        <f t="shared" si="60"/>
        <v>935</v>
      </c>
      <c r="B936" s="24">
        <v>43248</v>
      </c>
      <c r="C936" s="18" t="str">
        <f t="shared" si="57"/>
        <v>Monday</v>
      </c>
      <c r="D936" s="10" t="str">
        <f t="shared" si="58"/>
        <v>Same</v>
      </c>
      <c r="E936" s="2">
        <v>43.03</v>
      </c>
      <c r="F936" s="2">
        <v>15</v>
      </c>
      <c r="G936" s="1">
        <f t="shared" si="59"/>
        <v>0.34859400418312803</v>
      </c>
      <c r="H936" s="2">
        <v>1.5</v>
      </c>
      <c r="I936" s="26">
        <v>0.81111111111111101</v>
      </c>
      <c r="J936" s="26">
        <v>0.83333333333333337</v>
      </c>
      <c r="K936" s="27">
        <f>Table3[[#This Row],[Delivery Time]]-Table3[[#This Row],[Order Time]]</f>
        <v>2.2222222222222365E-2</v>
      </c>
      <c r="L936" s="43">
        <v>32</v>
      </c>
      <c r="M936" s="25" t="s">
        <v>0</v>
      </c>
      <c r="N936" s="28"/>
      <c r="O936" s="28" t="s">
        <v>39</v>
      </c>
      <c r="P936" s="25" t="s">
        <v>20</v>
      </c>
    </row>
    <row r="937" spans="1:16" x14ac:dyDescent="0.25">
      <c r="A937" s="23">
        <f t="shared" si="60"/>
        <v>936</v>
      </c>
      <c r="B937" s="24">
        <v>43250</v>
      </c>
      <c r="C937" s="18" t="str">
        <f t="shared" si="57"/>
        <v>Wednesday</v>
      </c>
      <c r="D937" s="10" t="str">
        <f t="shared" si="58"/>
        <v>Different</v>
      </c>
      <c r="E937" s="2">
        <v>19.43</v>
      </c>
      <c r="F937" s="2">
        <v>2</v>
      </c>
      <c r="G937" s="1">
        <f t="shared" si="59"/>
        <v>0.1029336078229542</v>
      </c>
      <c r="H937" s="2">
        <v>5</v>
      </c>
      <c r="I937" s="26">
        <v>0.76666666666666661</v>
      </c>
      <c r="J937" s="26">
        <v>0.79236111111111107</v>
      </c>
      <c r="K937" s="27">
        <f>Table3[[#This Row],[Delivery Time]]-Table3[[#This Row],[Order Time]]</f>
        <v>2.5694444444444464E-2</v>
      </c>
      <c r="L937" s="43">
        <v>37</v>
      </c>
      <c r="M937" s="25" t="s">
        <v>0</v>
      </c>
      <c r="N937" s="28"/>
      <c r="O937" s="28" t="s">
        <v>39</v>
      </c>
      <c r="P937" s="25" t="s">
        <v>20</v>
      </c>
    </row>
    <row r="938" spans="1:16" x14ac:dyDescent="0.25">
      <c r="A938" s="23">
        <f t="shared" si="60"/>
        <v>937</v>
      </c>
      <c r="B938" s="24">
        <v>43250</v>
      </c>
      <c r="C938" s="18" t="str">
        <f t="shared" si="57"/>
        <v>Wednesday</v>
      </c>
      <c r="D938" s="10" t="str">
        <f t="shared" si="58"/>
        <v>Same</v>
      </c>
      <c r="E938" s="2">
        <v>36.479999999999997</v>
      </c>
      <c r="F938" s="2">
        <v>7</v>
      </c>
      <c r="G938" s="1">
        <f t="shared" si="59"/>
        <v>0.19188596491228072</v>
      </c>
      <c r="H938" s="2">
        <v>1.5</v>
      </c>
      <c r="I938" s="26">
        <v>0.81041666666666667</v>
      </c>
      <c r="J938" s="26">
        <v>0.82430555555555562</v>
      </c>
      <c r="K938" s="27">
        <f>Table3[[#This Row],[Delivery Time]]-Table3[[#This Row],[Order Time]]</f>
        <v>1.3888888888888951E-2</v>
      </c>
      <c r="L938" s="43">
        <v>20</v>
      </c>
      <c r="M938" s="25" t="s">
        <v>0</v>
      </c>
      <c r="N938" s="28"/>
      <c r="O938" s="28" t="s">
        <v>39</v>
      </c>
      <c r="P938" s="25" t="s">
        <v>20</v>
      </c>
    </row>
    <row r="939" spans="1:16" x14ac:dyDescent="0.25">
      <c r="A939" s="23">
        <f t="shared" si="60"/>
        <v>938</v>
      </c>
      <c r="B939" s="24">
        <v>43251</v>
      </c>
      <c r="C939" s="18" t="str">
        <f t="shared" si="57"/>
        <v>Thursday</v>
      </c>
      <c r="D939" s="10" t="str">
        <f t="shared" si="58"/>
        <v>Different</v>
      </c>
      <c r="E939" s="2">
        <v>55.95</v>
      </c>
      <c r="F939" s="2">
        <v>5</v>
      </c>
      <c r="G939" s="1">
        <f t="shared" si="59"/>
        <v>8.936550491510277E-2</v>
      </c>
      <c r="H939" s="2">
        <v>5</v>
      </c>
      <c r="I939" s="26">
        <v>0.71597222222222223</v>
      </c>
      <c r="J939" s="26">
        <v>0.73958333333333337</v>
      </c>
      <c r="K939" s="27">
        <f>Table3[[#This Row],[Delivery Time]]-Table3[[#This Row],[Order Time]]</f>
        <v>2.3611111111111138E-2</v>
      </c>
      <c r="L939" s="43">
        <v>34</v>
      </c>
      <c r="M939" s="25" t="s">
        <v>36</v>
      </c>
      <c r="N939" s="28"/>
      <c r="O939" s="28" t="s">
        <v>41</v>
      </c>
      <c r="P939" s="25" t="s">
        <v>20</v>
      </c>
    </row>
    <row r="940" spans="1:16" x14ac:dyDescent="0.25">
      <c r="A940" s="23">
        <f t="shared" si="60"/>
        <v>939</v>
      </c>
      <c r="B940" s="24">
        <v>43251</v>
      </c>
      <c r="C940" s="18" t="str">
        <f t="shared" si="57"/>
        <v>Thursday</v>
      </c>
      <c r="D940" s="10" t="str">
        <f t="shared" si="58"/>
        <v>Same</v>
      </c>
      <c r="E940" s="2">
        <v>51.96</v>
      </c>
      <c r="F940" s="2">
        <v>2</v>
      </c>
      <c r="G940" s="1">
        <f t="shared" si="59"/>
        <v>3.8491147036181679E-2</v>
      </c>
      <c r="H940" s="2">
        <v>1.5</v>
      </c>
      <c r="I940" s="26">
        <v>0.7597222222222223</v>
      </c>
      <c r="J940" s="26">
        <v>0.78194444444444444</v>
      </c>
      <c r="K940" s="27">
        <f>Table3[[#This Row],[Delivery Time]]-Table3[[#This Row],[Order Time]]</f>
        <v>2.2222222222222143E-2</v>
      </c>
      <c r="L940" s="43">
        <v>32</v>
      </c>
      <c r="M940" s="25" t="s">
        <v>0</v>
      </c>
      <c r="N940" s="28"/>
      <c r="O940" s="28" t="s">
        <v>39</v>
      </c>
      <c r="P940" s="25" t="s">
        <v>20</v>
      </c>
    </row>
    <row r="941" spans="1:16" x14ac:dyDescent="0.25">
      <c r="A941" s="23">
        <f t="shared" si="60"/>
        <v>940</v>
      </c>
      <c r="B941" s="24">
        <v>43252</v>
      </c>
      <c r="C941" s="18" t="str">
        <f t="shared" si="57"/>
        <v>Friday</v>
      </c>
      <c r="D941" s="10" t="str">
        <f t="shared" si="58"/>
        <v>Different</v>
      </c>
      <c r="E941" s="2">
        <v>16.18</v>
      </c>
      <c r="F941" s="2">
        <v>4</v>
      </c>
      <c r="G941" s="1">
        <f t="shared" si="59"/>
        <v>0.24721878862793573</v>
      </c>
      <c r="H941" s="2">
        <v>5</v>
      </c>
      <c r="I941" s="26">
        <v>0.7416666666666667</v>
      </c>
      <c r="J941" s="26">
        <v>0.76597222222222217</v>
      </c>
      <c r="K941" s="27">
        <f>Table3[[#This Row],[Delivery Time]]-Table3[[#This Row],[Order Time]]</f>
        <v>2.4305555555555469E-2</v>
      </c>
      <c r="L941" s="43">
        <v>35</v>
      </c>
      <c r="M941" s="25" t="s">
        <v>11</v>
      </c>
      <c r="N941" s="28"/>
      <c r="O941" s="28" t="s">
        <v>41</v>
      </c>
      <c r="P941" s="25" t="s">
        <v>20</v>
      </c>
    </row>
    <row r="942" spans="1:16" x14ac:dyDescent="0.25">
      <c r="A942" s="23">
        <f t="shared" si="60"/>
        <v>941</v>
      </c>
      <c r="B942" s="24">
        <v>43252</v>
      </c>
      <c r="C942" s="18" t="str">
        <f t="shared" si="57"/>
        <v>Friday</v>
      </c>
      <c r="D942" s="10" t="str">
        <f t="shared" si="58"/>
        <v>Same</v>
      </c>
      <c r="E942" s="2">
        <v>37.380000000000003</v>
      </c>
      <c r="F942" s="2">
        <v>8</v>
      </c>
      <c r="G942" s="1">
        <f t="shared" si="59"/>
        <v>0.21401819154628141</v>
      </c>
      <c r="H942" s="2">
        <v>1.5</v>
      </c>
      <c r="I942" s="26">
        <v>0.76736111111111116</v>
      </c>
      <c r="J942" s="26">
        <v>0.7993055555555556</v>
      </c>
      <c r="K942" s="27">
        <f>Table3[[#This Row],[Delivery Time]]-Table3[[#This Row],[Order Time]]</f>
        <v>3.1944444444444442E-2</v>
      </c>
      <c r="L942" s="43">
        <v>46.000000000000007</v>
      </c>
      <c r="M942" s="25" t="s">
        <v>0</v>
      </c>
      <c r="N942" s="28"/>
      <c r="O942" s="28" t="s">
        <v>40</v>
      </c>
      <c r="P942" s="25" t="s">
        <v>20</v>
      </c>
    </row>
    <row r="943" spans="1:16" x14ac:dyDescent="0.25">
      <c r="A943" s="23">
        <f t="shared" si="60"/>
        <v>942</v>
      </c>
      <c r="B943" s="24">
        <v>43252</v>
      </c>
      <c r="C943" s="18" t="str">
        <f t="shared" si="57"/>
        <v>Friday</v>
      </c>
      <c r="D943" s="10" t="str">
        <f t="shared" si="58"/>
        <v>Same</v>
      </c>
      <c r="E943" s="2">
        <v>42.7</v>
      </c>
      <c r="F943" s="2">
        <v>17.3</v>
      </c>
      <c r="G943" s="1">
        <f t="shared" si="59"/>
        <v>0.40515222482435598</v>
      </c>
      <c r="H943" s="2">
        <v>5</v>
      </c>
      <c r="I943" s="26">
        <v>0.77500000000000002</v>
      </c>
      <c r="J943" s="26">
        <v>0.81388888888888899</v>
      </c>
      <c r="K943" s="27">
        <f>Table3[[#This Row],[Delivery Time]]-Table3[[#This Row],[Order Time]]</f>
        <v>3.8888888888888973E-2</v>
      </c>
      <c r="L943" s="43">
        <v>56</v>
      </c>
      <c r="M943" s="25" t="s">
        <v>0</v>
      </c>
      <c r="N943" s="28"/>
      <c r="O943" s="28" t="s">
        <v>39</v>
      </c>
      <c r="P943" s="25" t="s">
        <v>20</v>
      </c>
    </row>
    <row r="944" spans="1:16" x14ac:dyDescent="0.25">
      <c r="A944" s="23">
        <f t="shared" si="60"/>
        <v>943</v>
      </c>
      <c r="B944" s="24">
        <v>43252</v>
      </c>
      <c r="C944" s="18" t="str">
        <f t="shared" si="57"/>
        <v>Friday</v>
      </c>
      <c r="D944" s="10" t="str">
        <f t="shared" si="58"/>
        <v>Same</v>
      </c>
      <c r="E944" s="2">
        <v>53.53</v>
      </c>
      <c r="F944" s="2">
        <v>10</v>
      </c>
      <c r="G944" s="1">
        <f t="shared" si="59"/>
        <v>0.18681113394358304</v>
      </c>
      <c r="H944" s="2">
        <v>1.5</v>
      </c>
      <c r="I944" s="26">
        <v>0.77222222222222225</v>
      </c>
      <c r="J944" s="26">
        <v>0.8222222222222223</v>
      </c>
      <c r="K944" s="27">
        <f>Table3[[#This Row],[Delivery Time]]-Table3[[#This Row],[Order Time]]</f>
        <v>5.0000000000000044E-2</v>
      </c>
      <c r="L944" s="43">
        <v>72</v>
      </c>
      <c r="M944" s="25" t="s">
        <v>0</v>
      </c>
      <c r="N944" s="28"/>
      <c r="O944" s="28" t="s">
        <v>39</v>
      </c>
      <c r="P944" s="25" t="s">
        <v>20</v>
      </c>
    </row>
    <row r="945" spans="1:16" x14ac:dyDescent="0.25">
      <c r="A945" s="23">
        <f t="shared" si="60"/>
        <v>944</v>
      </c>
      <c r="B945" s="24">
        <v>43252</v>
      </c>
      <c r="C945" s="18" t="str">
        <f t="shared" si="57"/>
        <v>Friday</v>
      </c>
      <c r="D945" s="10" t="str">
        <f t="shared" si="58"/>
        <v>Same</v>
      </c>
      <c r="E945" s="2">
        <v>61.81</v>
      </c>
      <c r="F945" s="2">
        <v>10</v>
      </c>
      <c r="G945" s="1">
        <f t="shared" si="59"/>
        <v>0.16178611875101115</v>
      </c>
      <c r="H945" s="2">
        <v>1.5</v>
      </c>
      <c r="I945" s="26">
        <v>0.77500000000000002</v>
      </c>
      <c r="J945" s="26">
        <v>0.82708333333333339</v>
      </c>
      <c r="K945" s="27">
        <f>Table3[[#This Row],[Delivery Time]]-Table3[[#This Row],[Order Time]]</f>
        <v>5.208333333333337E-2</v>
      </c>
      <c r="L945" s="43">
        <v>75</v>
      </c>
      <c r="M945" s="25" t="s">
        <v>0</v>
      </c>
      <c r="N945" s="28"/>
      <c r="O945" s="28" t="s">
        <v>39</v>
      </c>
      <c r="P945" s="25" t="s">
        <v>20</v>
      </c>
    </row>
    <row r="946" spans="1:16" x14ac:dyDescent="0.25">
      <c r="A946" s="23">
        <f t="shared" si="60"/>
        <v>945</v>
      </c>
      <c r="B946" s="24">
        <v>43252</v>
      </c>
      <c r="C946" s="18" t="str">
        <f t="shared" si="57"/>
        <v>Friday</v>
      </c>
      <c r="D946" s="10" t="str">
        <f t="shared" si="58"/>
        <v>Same</v>
      </c>
      <c r="E946" s="2">
        <v>38.369999999999997</v>
      </c>
      <c r="F946" s="2">
        <v>6</v>
      </c>
      <c r="G946" s="1">
        <f t="shared" si="59"/>
        <v>0.15637216575449572</v>
      </c>
      <c r="H946" s="2">
        <v>1.5</v>
      </c>
      <c r="I946" s="26">
        <v>0.8041666666666667</v>
      </c>
      <c r="J946" s="26">
        <v>0.8520833333333333</v>
      </c>
      <c r="K946" s="27">
        <f>Table3[[#This Row],[Delivery Time]]-Table3[[#This Row],[Order Time]]</f>
        <v>4.7916666666666607E-2</v>
      </c>
      <c r="L946" s="43">
        <v>69</v>
      </c>
      <c r="M946" s="25" t="s">
        <v>0</v>
      </c>
      <c r="N946" s="28"/>
      <c r="O946" s="28" t="s">
        <v>39</v>
      </c>
      <c r="P946" s="25" t="s">
        <v>20</v>
      </c>
    </row>
    <row r="947" spans="1:16" x14ac:dyDescent="0.25">
      <c r="A947" s="23">
        <f t="shared" si="60"/>
        <v>946</v>
      </c>
      <c r="B947" s="24">
        <v>43252</v>
      </c>
      <c r="C947" s="18" t="str">
        <f t="shared" si="57"/>
        <v>Friday</v>
      </c>
      <c r="D947" s="10" t="str">
        <f t="shared" si="58"/>
        <v>Same</v>
      </c>
      <c r="E947" s="2">
        <v>44.6</v>
      </c>
      <c r="F947" s="2">
        <v>7</v>
      </c>
      <c r="G947" s="1">
        <f t="shared" si="59"/>
        <v>0.15695067264573989</v>
      </c>
      <c r="H947" s="2">
        <v>1.5</v>
      </c>
      <c r="I947" s="26">
        <v>0.8256944444444444</v>
      </c>
      <c r="J947" s="26">
        <v>0.87569444444444444</v>
      </c>
      <c r="K947" s="27">
        <f>Table3[[#This Row],[Delivery Time]]-Table3[[#This Row],[Order Time]]</f>
        <v>5.0000000000000044E-2</v>
      </c>
      <c r="L947" s="43">
        <v>72</v>
      </c>
      <c r="M947" s="25" t="s">
        <v>0</v>
      </c>
      <c r="N947" s="28"/>
      <c r="O947" s="28" t="s">
        <v>39</v>
      </c>
      <c r="P947" s="25" t="s">
        <v>20</v>
      </c>
    </row>
    <row r="948" spans="1:16" x14ac:dyDescent="0.25">
      <c r="A948" s="23">
        <f t="shared" si="60"/>
        <v>947</v>
      </c>
      <c r="B948" s="24">
        <v>43252</v>
      </c>
      <c r="C948" s="18" t="str">
        <f t="shared" si="57"/>
        <v>Friday</v>
      </c>
      <c r="D948" s="10" t="str">
        <f t="shared" si="58"/>
        <v>Same</v>
      </c>
      <c r="E948" s="2">
        <v>27.3</v>
      </c>
      <c r="F948" s="2">
        <v>13</v>
      </c>
      <c r="G948" s="1">
        <f t="shared" si="59"/>
        <v>0.47619047619047616</v>
      </c>
      <c r="H948" s="2">
        <v>1.5</v>
      </c>
      <c r="I948" s="26">
        <v>0.87222222222222223</v>
      </c>
      <c r="J948" s="26">
        <v>0.90763888888888899</v>
      </c>
      <c r="K948" s="27">
        <f>Table3[[#This Row],[Delivery Time]]-Table3[[#This Row],[Order Time]]</f>
        <v>3.5416666666666763E-2</v>
      </c>
      <c r="L948" s="43">
        <v>51</v>
      </c>
      <c r="M948" s="25" t="s">
        <v>12</v>
      </c>
      <c r="N948" s="28"/>
      <c r="O948" s="28" t="s">
        <v>41</v>
      </c>
      <c r="P948" s="25" t="s">
        <v>20</v>
      </c>
    </row>
    <row r="949" spans="1:16" x14ac:dyDescent="0.25">
      <c r="A949" s="23">
        <f t="shared" si="60"/>
        <v>948</v>
      </c>
      <c r="B949" s="24">
        <v>43253</v>
      </c>
      <c r="C949" s="18" t="str">
        <f t="shared" si="57"/>
        <v>Saturday</v>
      </c>
      <c r="D949" s="10" t="str">
        <f t="shared" si="58"/>
        <v>Different</v>
      </c>
      <c r="E949" s="2">
        <v>51.31</v>
      </c>
      <c r="F949" s="2">
        <v>5</v>
      </c>
      <c r="G949" s="1">
        <f t="shared" si="59"/>
        <v>9.7446891444162922E-2</v>
      </c>
      <c r="H949" s="2">
        <v>5</v>
      </c>
      <c r="I949" s="26">
        <v>0.74305555555555547</v>
      </c>
      <c r="J949" s="26">
        <v>0.75624999999999998</v>
      </c>
      <c r="K949" s="27">
        <f>Table3[[#This Row],[Delivery Time]]-Table3[[#This Row],[Order Time]]</f>
        <v>1.3194444444444509E-2</v>
      </c>
      <c r="L949" s="43">
        <v>19</v>
      </c>
      <c r="M949" s="25" t="s">
        <v>1</v>
      </c>
      <c r="N949" s="28"/>
      <c r="O949" s="28" t="s">
        <v>39</v>
      </c>
      <c r="P949" s="25" t="s">
        <v>16</v>
      </c>
    </row>
    <row r="950" spans="1:16" x14ac:dyDescent="0.25">
      <c r="A950" s="23">
        <f t="shared" si="60"/>
        <v>949</v>
      </c>
      <c r="B950" s="24">
        <v>43253</v>
      </c>
      <c r="C950" s="18" t="str">
        <f t="shared" si="57"/>
        <v>Saturday</v>
      </c>
      <c r="D950" s="10" t="str">
        <f t="shared" si="58"/>
        <v>Same</v>
      </c>
      <c r="E950" s="2">
        <v>21.05</v>
      </c>
      <c r="F950" s="2">
        <v>4.95</v>
      </c>
      <c r="G950" s="1">
        <f t="shared" si="59"/>
        <v>0.23515439429928742</v>
      </c>
      <c r="H950" s="2">
        <v>1.5</v>
      </c>
      <c r="I950" s="26">
        <v>0.73472222222222217</v>
      </c>
      <c r="J950" s="26">
        <v>0.7715277777777777</v>
      </c>
      <c r="K950" s="27">
        <f>Table3[[#This Row],[Delivery Time]]-Table3[[#This Row],[Order Time]]</f>
        <v>3.6805555555555536E-2</v>
      </c>
      <c r="L950" s="43">
        <v>53</v>
      </c>
      <c r="M950" s="25" t="s">
        <v>11</v>
      </c>
      <c r="N950" s="28"/>
      <c r="O950" s="28" t="s">
        <v>39</v>
      </c>
      <c r="P950" s="25" t="s">
        <v>20</v>
      </c>
    </row>
    <row r="951" spans="1:16" x14ac:dyDescent="0.25">
      <c r="A951" s="23">
        <f t="shared" si="60"/>
        <v>950</v>
      </c>
      <c r="B951" s="24">
        <v>43253</v>
      </c>
      <c r="C951" s="18" t="str">
        <f t="shared" si="57"/>
        <v>Saturday</v>
      </c>
      <c r="D951" s="10" t="str">
        <f t="shared" si="58"/>
        <v>Same</v>
      </c>
      <c r="E951" s="2">
        <v>30.31</v>
      </c>
      <c r="F951" s="2">
        <v>5</v>
      </c>
      <c r="G951" s="1">
        <f t="shared" si="59"/>
        <v>0.16496205872649292</v>
      </c>
      <c r="H951" s="2">
        <v>1.5</v>
      </c>
      <c r="I951" s="26">
        <v>0.77986111111111101</v>
      </c>
      <c r="J951" s="26">
        <v>0.80763888888888891</v>
      </c>
      <c r="K951" s="27">
        <f>Table3[[#This Row],[Delivery Time]]-Table3[[#This Row],[Order Time]]</f>
        <v>2.7777777777777901E-2</v>
      </c>
      <c r="L951" s="43">
        <v>40</v>
      </c>
      <c r="M951" s="25" t="s">
        <v>11</v>
      </c>
      <c r="N951" s="28"/>
      <c r="O951" s="28" t="s">
        <v>39</v>
      </c>
      <c r="P951" s="25" t="s">
        <v>20</v>
      </c>
    </row>
    <row r="952" spans="1:16" x14ac:dyDescent="0.25">
      <c r="A952" s="23">
        <f t="shared" si="60"/>
        <v>951</v>
      </c>
      <c r="B952" s="24">
        <v>43253</v>
      </c>
      <c r="C952" s="18" t="str">
        <f t="shared" si="57"/>
        <v>Saturday</v>
      </c>
      <c r="D952" s="10" t="str">
        <f t="shared" si="58"/>
        <v>Same</v>
      </c>
      <c r="E952" s="2">
        <v>41.08</v>
      </c>
      <c r="F952" s="2">
        <v>8</v>
      </c>
      <c r="G952" s="1">
        <f t="shared" si="59"/>
        <v>0.19474196689386564</v>
      </c>
      <c r="H952" s="2">
        <v>5</v>
      </c>
      <c r="I952" s="26">
        <v>0.78263888888888899</v>
      </c>
      <c r="J952" s="26">
        <v>0.81527777777777777</v>
      </c>
      <c r="K952" s="27">
        <f>Table3[[#This Row],[Delivery Time]]-Table3[[#This Row],[Order Time]]</f>
        <v>3.2638888888888773E-2</v>
      </c>
      <c r="L952" s="43">
        <v>47.000000000000007</v>
      </c>
      <c r="M952" s="25" t="s">
        <v>69</v>
      </c>
      <c r="N952" s="28"/>
      <c r="O952" s="28" t="s">
        <v>39</v>
      </c>
      <c r="P952" s="25" t="s">
        <v>20</v>
      </c>
    </row>
    <row r="953" spans="1:16" x14ac:dyDescent="0.25">
      <c r="A953" s="23">
        <f t="shared" si="60"/>
        <v>952</v>
      </c>
      <c r="B953" s="24">
        <v>43253</v>
      </c>
      <c r="C953" s="18" t="str">
        <f t="shared" si="57"/>
        <v>Saturday</v>
      </c>
      <c r="D953" s="10" t="str">
        <f t="shared" si="58"/>
        <v>Same</v>
      </c>
      <c r="E953" s="2">
        <v>22.41</v>
      </c>
      <c r="F953" s="2">
        <v>4</v>
      </c>
      <c r="G953" s="1">
        <f t="shared" si="59"/>
        <v>0.17849174475680499</v>
      </c>
      <c r="H953" s="2">
        <v>1.5</v>
      </c>
      <c r="I953" s="26">
        <v>0.83472222222222225</v>
      </c>
      <c r="J953" s="26">
        <v>0.85416666666666663</v>
      </c>
      <c r="K953" s="27">
        <f>Table3[[#This Row],[Delivery Time]]-Table3[[#This Row],[Order Time]]</f>
        <v>1.9444444444444375E-2</v>
      </c>
      <c r="L953" s="43">
        <v>28</v>
      </c>
      <c r="M953" s="25" t="s">
        <v>11</v>
      </c>
      <c r="N953" s="28"/>
      <c r="O953" s="28" t="s">
        <v>39</v>
      </c>
      <c r="P953" s="25" t="s">
        <v>20</v>
      </c>
    </row>
    <row r="954" spans="1:16" x14ac:dyDescent="0.25">
      <c r="A954" s="23">
        <f t="shared" si="60"/>
        <v>953</v>
      </c>
      <c r="B954" s="24">
        <v>43253</v>
      </c>
      <c r="C954" s="18" t="str">
        <f t="shared" si="57"/>
        <v>Saturday</v>
      </c>
      <c r="D954" s="10" t="str">
        <f t="shared" si="58"/>
        <v>Same</v>
      </c>
      <c r="E954" s="2">
        <v>12.18</v>
      </c>
      <c r="F954" s="2">
        <v>2</v>
      </c>
      <c r="G954" s="1">
        <f t="shared" si="59"/>
        <v>0.16420361247947454</v>
      </c>
      <c r="H954" s="2">
        <v>1.5</v>
      </c>
      <c r="I954" s="26">
        <v>0.85972222222222217</v>
      </c>
      <c r="J954" s="26">
        <v>0.89374999999999993</v>
      </c>
      <c r="K954" s="27">
        <f>Table3[[#This Row],[Delivery Time]]-Table3[[#This Row],[Order Time]]</f>
        <v>3.4027777777777768E-2</v>
      </c>
      <c r="L954" s="43">
        <v>49</v>
      </c>
      <c r="M954" s="25" t="s">
        <v>11</v>
      </c>
      <c r="N954" s="28"/>
      <c r="O954" s="28" t="s">
        <v>41</v>
      </c>
      <c r="P954" s="25" t="s">
        <v>20</v>
      </c>
    </row>
    <row r="955" spans="1:16" x14ac:dyDescent="0.25">
      <c r="A955" s="23">
        <f t="shared" si="60"/>
        <v>954</v>
      </c>
      <c r="B955" s="24">
        <v>43253</v>
      </c>
      <c r="C955" s="18" t="str">
        <f t="shared" si="57"/>
        <v>Saturday</v>
      </c>
      <c r="D955" s="10" t="str">
        <f t="shared" si="58"/>
        <v>Same</v>
      </c>
      <c r="E955" s="2">
        <v>171.96</v>
      </c>
      <c r="F955" s="2">
        <v>20</v>
      </c>
      <c r="G955" s="1">
        <f t="shared" si="59"/>
        <v>0.11630611770179111</v>
      </c>
      <c r="H955" s="2">
        <v>1.5</v>
      </c>
      <c r="I955" s="26">
        <v>0.86597222222222225</v>
      </c>
      <c r="J955" s="26">
        <v>0.90625</v>
      </c>
      <c r="K955" s="27">
        <f>Table3[[#This Row],[Delivery Time]]-Table3[[#This Row],[Order Time]]</f>
        <v>4.0277777777777746E-2</v>
      </c>
      <c r="L955" s="43">
        <v>58.000000000000007</v>
      </c>
      <c r="M955" s="25" t="s">
        <v>0</v>
      </c>
      <c r="N955" s="28"/>
      <c r="O955" s="28" t="s">
        <v>39</v>
      </c>
      <c r="P955" s="25" t="s">
        <v>20</v>
      </c>
    </row>
    <row r="956" spans="1:16" x14ac:dyDescent="0.25">
      <c r="A956" s="23">
        <f t="shared" si="60"/>
        <v>955</v>
      </c>
      <c r="B956" s="24">
        <v>43253</v>
      </c>
      <c r="C956" s="18" t="str">
        <f t="shared" si="57"/>
        <v>Saturday</v>
      </c>
      <c r="D956" s="10" t="str">
        <f t="shared" si="58"/>
        <v>Same</v>
      </c>
      <c r="E956" s="2">
        <v>21.6</v>
      </c>
      <c r="F956" s="2">
        <v>5</v>
      </c>
      <c r="G956" s="1">
        <f t="shared" si="59"/>
        <v>0.23148148148148145</v>
      </c>
      <c r="H956" s="2">
        <v>1.5</v>
      </c>
      <c r="I956" s="26">
        <v>0.875</v>
      </c>
      <c r="J956" s="26">
        <v>0.91527777777777775</v>
      </c>
      <c r="K956" s="27">
        <f>Table3[[#This Row],[Delivery Time]]-Table3[[#This Row],[Order Time]]</f>
        <v>4.0277777777777746E-2</v>
      </c>
      <c r="L956" s="43">
        <v>58.000000000000007</v>
      </c>
      <c r="M956" s="25" t="s">
        <v>11</v>
      </c>
      <c r="N956" s="28"/>
      <c r="O956" s="28" t="s">
        <v>39</v>
      </c>
      <c r="P956" s="25" t="s">
        <v>20</v>
      </c>
    </row>
    <row r="957" spans="1:16" x14ac:dyDescent="0.25">
      <c r="A957" s="23">
        <f t="shared" si="60"/>
        <v>956</v>
      </c>
      <c r="B957" s="24">
        <v>43254</v>
      </c>
      <c r="C957" s="18" t="str">
        <f t="shared" si="57"/>
        <v>Sunday</v>
      </c>
      <c r="D957" s="10" t="str">
        <f t="shared" si="58"/>
        <v>Different</v>
      </c>
      <c r="E957" s="2">
        <v>44.06</v>
      </c>
      <c r="F957" s="2">
        <v>5.94</v>
      </c>
      <c r="G957" s="1">
        <f t="shared" si="59"/>
        <v>0.13481615978211531</v>
      </c>
      <c r="H957" s="2">
        <v>1.5</v>
      </c>
      <c r="I957" s="26">
        <v>0.72430555555555554</v>
      </c>
      <c r="J957" s="26">
        <v>0.74513888888888891</v>
      </c>
      <c r="K957" s="27">
        <f>Table3[[#This Row],[Delivery Time]]-Table3[[#This Row],[Order Time]]</f>
        <v>2.083333333333337E-2</v>
      </c>
      <c r="L957" s="43">
        <v>30</v>
      </c>
      <c r="M957" s="25" t="s">
        <v>0</v>
      </c>
      <c r="N957" s="28"/>
      <c r="O957" s="28" t="s">
        <v>39</v>
      </c>
      <c r="P957" s="25" t="s">
        <v>20</v>
      </c>
    </row>
    <row r="958" spans="1:16" x14ac:dyDescent="0.25">
      <c r="A958" s="23">
        <f t="shared" si="60"/>
        <v>957</v>
      </c>
      <c r="B958" s="24">
        <v>43254</v>
      </c>
      <c r="C958" s="18" t="str">
        <f t="shared" si="57"/>
        <v>Sunday</v>
      </c>
      <c r="D958" s="10" t="str">
        <f t="shared" si="58"/>
        <v>Same</v>
      </c>
      <c r="E958" s="2">
        <v>64.3</v>
      </c>
      <c r="F958" s="2">
        <v>15.7</v>
      </c>
      <c r="G958" s="1">
        <f t="shared" si="59"/>
        <v>0.24416796267496113</v>
      </c>
      <c r="H958" s="2">
        <v>1.5</v>
      </c>
      <c r="I958" s="26">
        <v>0.75138888888888899</v>
      </c>
      <c r="J958" s="26">
        <v>0.76874999999999993</v>
      </c>
      <c r="K958" s="27">
        <f>Table3[[#This Row],[Delivery Time]]-Table3[[#This Row],[Order Time]]</f>
        <v>1.7361111111110938E-2</v>
      </c>
      <c r="L958" s="43">
        <v>25</v>
      </c>
      <c r="M958" s="25" t="s">
        <v>0</v>
      </c>
      <c r="N958" s="28"/>
      <c r="O958" s="28" t="s">
        <v>39</v>
      </c>
      <c r="P958" s="25" t="s">
        <v>20</v>
      </c>
    </row>
    <row r="959" spans="1:16" x14ac:dyDescent="0.25">
      <c r="A959" s="23">
        <f t="shared" si="60"/>
        <v>958</v>
      </c>
      <c r="B959" s="24">
        <v>43254</v>
      </c>
      <c r="C959" s="18" t="str">
        <f t="shared" si="57"/>
        <v>Sunday</v>
      </c>
      <c r="D959" s="10" t="str">
        <f t="shared" si="58"/>
        <v>Same</v>
      </c>
      <c r="E959" s="2">
        <v>37.51</v>
      </c>
      <c r="F959" s="2">
        <v>5</v>
      </c>
      <c r="G959" s="1">
        <f t="shared" si="59"/>
        <v>0.13329778725673155</v>
      </c>
      <c r="H959" s="2">
        <v>5</v>
      </c>
      <c r="I959" s="26">
        <v>0.75416666666666676</v>
      </c>
      <c r="J959" s="26">
        <v>0.78055555555555556</v>
      </c>
      <c r="K959" s="27">
        <f>Table3[[#This Row],[Delivery Time]]-Table3[[#This Row],[Order Time]]</f>
        <v>2.6388888888888795E-2</v>
      </c>
      <c r="L959" s="43">
        <v>38</v>
      </c>
      <c r="M959" s="25" t="s">
        <v>0</v>
      </c>
      <c r="N959" s="28"/>
      <c r="O959" s="28" t="s">
        <v>39</v>
      </c>
      <c r="P959" s="25" t="s">
        <v>20</v>
      </c>
    </row>
    <row r="960" spans="1:16" x14ac:dyDescent="0.25">
      <c r="A960" s="23">
        <f t="shared" si="60"/>
        <v>959</v>
      </c>
      <c r="B960" s="24">
        <v>43254</v>
      </c>
      <c r="C960" s="18" t="str">
        <f t="shared" si="57"/>
        <v>Sunday</v>
      </c>
      <c r="D960" s="10" t="str">
        <f t="shared" si="58"/>
        <v>Same</v>
      </c>
      <c r="E960" s="2">
        <v>23.76</v>
      </c>
      <c r="F960" s="2">
        <v>5</v>
      </c>
      <c r="G960" s="1">
        <f t="shared" si="59"/>
        <v>0.21043771043771042</v>
      </c>
      <c r="H960" s="2">
        <v>1.5</v>
      </c>
      <c r="I960" s="26">
        <v>0.79722222222222217</v>
      </c>
      <c r="J960" s="26">
        <v>0.82847222222222217</v>
      </c>
      <c r="K960" s="27">
        <f>Table3[[#This Row],[Delivery Time]]-Table3[[#This Row],[Order Time]]</f>
        <v>3.125E-2</v>
      </c>
      <c r="L960" s="43">
        <v>45</v>
      </c>
      <c r="M960" s="25" t="s">
        <v>11</v>
      </c>
      <c r="N960" s="28"/>
      <c r="O960" s="28" t="s">
        <v>39</v>
      </c>
      <c r="P960" s="25" t="s">
        <v>20</v>
      </c>
    </row>
    <row r="961" spans="1:16" x14ac:dyDescent="0.25">
      <c r="A961" s="23">
        <f t="shared" si="60"/>
        <v>960</v>
      </c>
      <c r="B961" s="24">
        <v>43254</v>
      </c>
      <c r="C961" s="18" t="str">
        <f t="shared" si="57"/>
        <v>Sunday</v>
      </c>
      <c r="D961" s="10" t="str">
        <f t="shared" si="58"/>
        <v>Same</v>
      </c>
      <c r="E961" s="2">
        <v>32.200000000000003</v>
      </c>
      <c r="F961" s="2">
        <v>6</v>
      </c>
      <c r="G961" s="1">
        <f t="shared" si="59"/>
        <v>0.18633540372670807</v>
      </c>
      <c r="H961" s="2">
        <v>1.5</v>
      </c>
      <c r="I961" s="26">
        <v>0.81319444444444444</v>
      </c>
      <c r="J961" s="26">
        <v>0.84930555555555554</v>
      </c>
      <c r="K961" s="27">
        <f>Table3[[#This Row],[Delivery Time]]-Table3[[#This Row],[Order Time]]</f>
        <v>3.6111111111111094E-2</v>
      </c>
      <c r="L961" s="43">
        <v>52</v>
      </c>
      <c r="M961" s="25" t="s">
        <v>0</v>
      </c>
      <c r="N961" s="28"/>
      <c r="O961" s="28" t="s">
        <v>39</v>
      </c>
      <c r="P961" s="25" t="s">
        <v>20</v>
      </c>
    </row>
    <row r="962" spans="1:16" x14ac:dyDescent="0.25">
      <c r="A962" s="23">
        <f t="shared" si="60"/>
        <v>961</v>
      </c>
      <c r="B962" s="24">
        <v>43254</v>
      </c>
      <c r="C962" s="18" t="str">
        <f t="shared" si="57"/>
        <v>Sunday</v>
      </c>
      <c r="D962" s="10" t="str">
        <f t="shared" si="58"/>
        <v>Same</v>
      </c>
      <c r="E962" s="2">
        <v>46.44</v>
      </c>
      <c r="F962" s="2">
        <v>9</v>
      </c>
      <c r="G962" s="1">
        <f t="shared" si="59"/>
        <v>0.19379844961240311</v>
      </c>
      <c r="H962" s="2">
        <v>1.5</v>
      </c>
      <c r="I962" s="26">
        <v>0.82638888888888884</v>
      </c>
      <c r="J962" s="26">
        <v>0.87222222222222223</v>
      </c>
      <c r="K962" s="27">
        <f>Table3[[#This Row],[Delivery Time]]-Table3[[#This Row],[Order Time]]</f>
        <v>4.5833333333333393E-2</v>
      </c>
      <c r="L962" s="43">
        <v>66</v>
      </c>
      <c r="M962" s="25" t="s">
        <v>12</v>
      </c>
      <c r="N962" s="28"/>
      <c r="O962" s="28" t="s">
        <v>39</v>
      </c>
      <c r="P962" s="25" t="s">
        <v>20</v>
      </c>
    </row>
    <row r="963" spans="1:16" x14ac:dyDescent="0.25">
      <c r="A963" s="23">
        <f t="shared" si="60"/>
        <v>962</v>
      </c>
      <c r="B963" s="24">
        <v>43254</v>
      </c>
      <c r="C963" s="18" t="str">
        <f t="shared" si="57"/>
        <v>Sunday</v>
      </c>
      <c r="D963" s="10" t="str">
        <f t="shared" si="58"/>
        <v>Same</v>
      </c>
      <c r="E963" s="2">
        <v>49.42</v>
      </c>
      <c r="F963" s="2">
        <v>10</v>
      </c>
      <c r="G963" s="1">
        <f t="shared" si="59"/>
        <v>0.20234722784297854</v>
      </c>
      <c r="H963" s="2">
        <v>1.5</v>
      </c>
      <c r="I963" s="26">
        <v>0.82638888888888884</v>
      </c>
      <c r="J963" s="26">
        <v>0.88541666666666663</v>
      </c>
      <c r="K963" s="27">
        <f>Table3[[#This Row],[Delivery Time]]-Table3[[#This Row],[Order Time]]</f>
        <v>5.902777777777779E-2</v>
      </c>
      <c r="L963" s="43">
        <v>85</v>
      </c>
      <c r="M963" s="25" t="s">
        <v>0</v>
      </c>
      <c r="N963" s="28" t="s">
        <v>22</v>
      </c>
      <c r="O963" s="28" t="s">
        <v>39</v>
      </c>
      <c r="P963" s="25" t="s">
        <v>20</v>
      </c>
    </row>
    <row r="964" spans="1:16" x14ac:dyDescent="0.25">
      <c r="A964" s="23">
        <f t="shared" si="60"/>
        <v>963</v>
      </c>
      <c r="B964" s="24">
        <v>43255</v>
      </c>
      <c r="C964" s="18" t="str">
        <f t="shared" si="57"/>
        <v>Monday</v>
      </c>
      <c r="D964" s="10" t="str">
        <f t="shared" si="58"/>
        <v>Different</v>
      </c>
      <c r="E964" s="2">
        <v>20.03</v>
      </c>
      <c r="F964" s="2">
        <v>2</v>
      </c>
      <c r="G964" s="1">
        <f t="shared" si="59"/>
        <v>9.9850224663005485E-2</v>
      </c>
      <c r="H964" s="2">
        <v>1.5</v>
      </c>
      <c r="I964" s="26">
        <v>0.76458333333333339</v>
      </c>
      <c r="J964" s="26">
        <v>0.78472222222222221</v>
      </c>
      <c r="K964" s="27">
        <f>Table3[[#This Row],[Delivery Time]]-Table3[[#This Row],[Order Time]]</f>
        <v>2.0138888888888817E-2</v>
      </c>
      <c r="L964" s="43">
        <v>29.000000000000004</v>
      </c>
      <c r="M964" s="25" t="s">
        <v>11</v>
      </c>
      <c r="N964" s="28"/>
      <c r="O964" s="28" t="s">
        <v>42</v>
      </c>
      <c r="P964" s="25" t="s">
        <v>20</v>
      </c>
    </row>
    <row r="965" spans="1:16" x14ac:dyDescent="0.25">
      <c r="A965" s="23">
        <f t="shared" si="60"/>
        <v>964</v>
      </c>
      <c r="B965" s="24">
        <v>43255</v>
      </c>
      <c r="C965" s="18" t="str">
        <f t="shared" si="57"/>
        <v>Monday</v>
      </c>
      <c r="D965" s="10" t="str">
        <f t="shared" si="58"/>
        <v>Same</v>
      </c>
      <c r="E965" s="2">
        <v>36.26</v>
      </c>
      <c r="F965" s="2">
        <v>5</v>
      </c>
      <c r="G965" s="1">
        <f t="shared" si="59"/>
        <v>0.13789299503585217</v>
      </c>
      <c r="H965" s="2">
        <v>1.5</v>
      </c>
      <c r="I965" s="26">
        <v>0.7631944444444444</v>
      </c>
      <c r="J965" s="26">
        <v>0.79583333333333339</v>
      </c>
      <c r="K965" s="27">
        <f>Table3[[#This Row],[Delivery Time]]-Table3[[#This Row],[Order Time]]</f>
        <v>3.2638888888888995E-2</v>
      </c>
      <c r="L965" s="43">
        <v>47.000000000000007</v>
      </c>
      <c r="M965" s="25" t="s">
        <v>11</v>
      </c>
      <c r="N965" s="28"/>
      <c r="O965" s="28" t="s">
        <v>39</v>
      </c>
      <c r="P965" s="25" t="s">
        <v>20</v>
      </c>
    </row>
    <row r="966" spans="1:16" x14ac:dyDescent="0.25">
      <c r="A966" s="23">
        <f t="shared" si="60"/>
        <v>965</v>
      </c>
      <c r="B966" s="24">
        <v>43255</v>
      </c>
      <c r="C966" s="18" t="str">
        <f t="shared" ref="C966:C1029" si="61">TEXT(B966,"dddd")</f>
        <v>Monday</v>
      </c>
      <c r="D966" s="10" t="str">
        <f t="shared" ref="D966:D1029" si="62">IF(B965=B966, "Same", "Different")</f>
        <v>Same</v>
      </c>
      <c r="E966" s="2">
        <v>28.36</v>
      </c>
      <c r="F966" s="2">
        <v>6.34</v>
      </c>
      <c r="G966" s="1">
        <f t="shared" ref="G966:G1029" si="63">F966/E966</f>
        <v>0.22355430183356839</v>
      </c>
      <c r="H966" s="2">
        <v>1.5</v>
      </c>
      <c r="I966" s="26">
        <v>0.79375000000000007</v>
      </c>
      <c r="J966" s="26">
        <v>0.83333333333333337</v>
      </c>
      <c r="K966" s="27">
        <f>Table3[[#This Row],[Delivery Time]]-Table3[[#This Row],[Order Time]]</f>
        <v>3.9583333333333304E-2</v>
      </c>
      <c r="L966" s="43">
        <v>57</v>
      </c>
      <c r="M966" s="25" t="s">
        <v>0</v>
      </c>
      <c r="N966" s="28"/>
      <c r="O966" s="28" t="s">
        <v>39</v>
      </c>
      <c r="P966" s="25" t="s">
        <v>20</v>
      </c>
    </row>
    <row r="967" spans="1:16" x14ac:dyDescent="0.25">
      <c r="A967" s="23">
        <f t="shared" si="60"/>
        <v>966</v>
      </c>
      <c r="B967" s="24">
        <v>43255</v>
      </c>
      <c r="C967" s="18" t="str">
        <f t="shared" si="61"/>
        <v>Monday</v>
      </c>
      <c r="D967" s="10" t="str">
        <f t="shared" si="62"/>
        <v>Same</v>
      </c>
      <c r="E967" s="2">
        <v>71.45</v>
      </c>
      <c r="F967" s="2">
        <v>13</v>
      </c>
      <c r="G967" s="1">
        <f t="shared" si="63"/>
        <v>0.18194541637508746</v>
      </c>
      <c r="H967" s="2">
        <v>1.5</v>
      </c>
      <c r="I967" s="26">
        <v>0.81319444444444444</v>
      </c>
      <c r="J967" s="26">
        <v>0.84444444444444444</v>
      </c>
      <c r="K967" s="27">
        <f>Table3[[#This Row],[Delivery Time]]-Table3[[#This Row],[Order Time]]</f>
        <v>3.125E-2</v>
      </c>
      <c r="L967" s="43">
        <v>45</v>
      </c>
      <c r="M967" s="25" t="s">
        <v>0</v>
      </c>
      <c r="N967" s="28"/>
      <c r="O967" s="28" t="s">
        <v>39</v>
      </c>
      <c r="P967" s="25" t="s">
        <v>20</v>
      </c>
    </row>
    <row r="968" spans="1:16" x14ac:dyDescent="0.25">
      <c r="A968" s="23">
        <f t="shared" si="60"/>
        <v>967</v>
      </c>
      <c r="B968" s="24">
        <v>43255</v>
      </c>
      <c r="C968" s="18" t="str">
        <f t="shared" si="61"/>
        <v>Monday</v>
      </c>
      <c r="D968" s="10" t="str">
        <f t="shared" si="62"/>
        <v>Same</v>
      </c>
      <c r="E968" s="2">
        <v>37.78</v>
      </c>
      <c r="F968" s="2">
        <v>12.12</v>
      </c>
      <c r="G968" s="1">
        <f t="shared" si="63"/>
        <v>0.32080465854949708</v>
      </c>
      <c r="H968" s="2">
        <v>1.5</v>
      </c>
      <c r="I968" s="26">
        <v>0.81597222222222221</v>
      </c>
      <c r="J968" s="26">
        <v>0.84930555555555554</v>
      </c>
      <c r="K968" s="27">
        <f>Table3[[#This Row],[Delivery Time]]-Table3[[#This Row],[Order Time]]</f>
        <v>3.3333333333333326E-2</v>
      </c>
      <c r="L968" s="43">
        <v>48</v>
      </c>
      <c r="M968" s="25" t="s">
        <v>0</v>
      </c>
      <c r="N968" s="28" t="s">
        <v>22</v>
      </c>
      <c r="O968" s="28" t="s">
        <v>39</v>
      </c>
      <c r="P968" s="25" t="s">
        <v>20</v>
      </c>
    </row>
    <row r="969" spans="1:16" x14ac:dyDescent="0.25">
      <c r="A969" s="23">
        <f t="shared" si="60"/>
        <v>968</v>
      </c>
      <c r="B969" s="24">
        <v>43259</v>
      </c>
      <c r="C969" s="18" t="str">
        <f t="shared" si="61"/>
        <v>Friday</v>
      </c>
      <c r="D969" s="10" t="str">
        <f t="shared" si="62"/>
        <v>Different</v>
      </c>
      <c r="E969" s="2">
        <v>42.7</v>
      </c>
      <c r="F969" s="2">
        <v>4</v>
      </c>
      <c r="G969" s="1">
        <f t="shared" si="63"/>
        <v>9.3676814988290391E-2</v>
      </c>
      <c r="H969" s="2">
        <v>1.5</v>
      </c>
      <c r="I969" s="26">
        <v>0.76458333333333339</v>
      </c>
      <c r="J969" s="26">
        <v>0.78680555555555554</v>
      </c>
      <c r="K969" s="27">
        <f>Table3[[#This Row],[Delivery Time]]-Table3[[#This Row],[Order Time]]</f>
        <v>2.2222222222222143E-2</v>
      </c>
      <c r="L969" s="43">
        <v>32</v>
      </c>
      <c r="M969" s="25" t="s">
        <v>12</v>
      </c>
      <c r="N969" s="28"/>
      <c r="O969" s="28" t="s">
        <v>39</v>
      </c>
      <c r="P969" s="25" t="s">
        <v>20</v>
      </c>
    </row>
    <row r="970" spans="1:16" x14ac:dyDescent="0.25">
      <c r="A970" s="23">
        <f t="shared" si="60"/>
        <v>969</v>
      </c>
      <c r="B970" s="24">
        <v>43259</v>
      </c>
      <c r="C970" s="18" t="str">
        <f t="shared" si="61"/>
        <v>Friday</v>
      </c>
      <c r="D970" s="10" t="str">
        <f t="shared" si="62"/>
        <v>Same</v>
      </c>
      <c r="E970" s="2">
        <v>24.9</v>
      </c>
      <c r="F970" s="2">
        <v>5</v>
      </c>
      <c r="G970" s="1">
        <f t="shared" si="63"/>
        <v>0.20080321285140562</v>
      </c>
      <c r="H970" s="2">
        <v>1.5</v>
      </c>
      <c r="I970" s="26">
        <v>0.76458333333333339</v>
      </c>
      <c r="J970" s="26">
        <v>0.80347222222222225</v>
      </c>
      <c r="K970" s="27">
        <f>Table3[[#This Row],[Delivery Time]]-Table3[[#This Row],[Order Time]]</f>
        <v>3.8888888888888862E-2</v>
      </c>
      <c r="L970" s="43">
        <v>56</v>
      </c>
      <c r="M970" s="25" t="s">
        <v>0</v>
      </c>
      <c r="N970" s="28" t="s">
        <v>22</v>
      </c>
      <c r="O970" s="28" t="s">
        <v>39</v>
      </c>
      <c r="P970" s="25" t="s">
        <v>20</v>
      </c>
    </row>
    <row r="971" spans="1:16" x14ac:dyDescent="0.25">
      <c r="A971" s="23">
        <f t="shared" si="60"/>
        <v>970</v>
      </c>
      <c r="B971" s="24">
        <v>43261</v>
      </c>
      <c r="C971" s="18" t="str">
        <f t="shared" si="61"/>
        <v>Sunday</v>
      </c>
      <c r="D971" s="10" t="str">
        <f t="shared" si="62"/>
        <v>Different</v>
      </c>
      <c r="E971" s="2">
        <v>29.17</v>
      </c>
      <c r="F971" s="2">
        <v>5</v>
      </c>
      <c r="G971" s="1">
        <f t="shared" si="63"/>
        <v>0.17140898183064793</v>
      </c>
      <c r="H971" s="2">
        <v>1.5</v>
      </c>
      <c r="I971" s="26">
        <v>0.70694444444444438</v>
      </c>
      <c r="J971" s="26">
        <v>0.75208333333333333</v>
      </c>
      <c r="K971" s="27">
        <f>Table3[[#This Row],[Delivery Time]]-Table3[[#This Row],[Order Time]]</f>
        <v>4.5138888888888951E-2</v>
      </c>
      <c r="L971" s="43">
        <v>65</v>
      </c>
      <c r="M971" s="25" t="s">
        <v>36</v>
      </c>
      <c r="N971" s="28"/>
      <c r="O971" s="28" t="s">
        <v>39</v>
      </c>
      <c r="P971" s="25" t="s">
        <v>20</v>
      </c>
    </row>
    <row r="972" spans="1:16" x14ac:dyDescent="0.25">
      <c r="A972" s="23">
        <f t="shared" si="60"/>
        <v>971</v>
      </c>
      <c r="B972" s="24">
        <v>43261</v>
      </c>
      <c r="C972" s="18" t="str">
        <f t="shared" si="61"/>
        <v>Sunday</v>
      </c>
      <c r="D972" s="10" t="str">
        <f t="shared" si="62"/>
        <v>Same</v>
      </c>
      <c r="E972" s="2">
        <v>34.590000000000003</v>
      </c>
      <c r="F972" s="2">
        <v>5</v>
      </c>
      <c r="G972" s="1">
        <f t="shared" si="63"/>
        <v>0.14455044810638912</v>
      </c>
      <c r="H972" s="2">
        <v>1.5</v>
      </c>
      <c r="I972" s="26">
        <v>0.72638888888888886</v>
      </c>
      <c r="J972" s="26">
        <v>0.75902777777777775</v>
      </c>
      <c r="K972" s="27">
        <f>Table3[[#This Row],[Delivery Time]]-Table3[[#This Row],[Order Time]]</f>
        <v>3.2638888888888884E-2</v>
      </c>
      <c r="L972" s="43">
        <v>47.000000000000007</v>
      </c>
      <c r="M972" s="25" t="s">
        <v>11</v>
      </c>
      <c r="N972" s="28"/>
      <c r="O972" s="28" t="s">
        <v>39</v>
      </c>
      <c r="P972" s="25" t="s">
        <v>20</v>
      </c>
    </row>
    <row r="973" spans="1:16" x14ac:dyDescent="0.25">
      <c r="A973" s="23">
        <f t="shared" si="60"/>
        <v>972</v>
      </c>
      <c r="B973" s="24">
        <v>43261</v>
      </c>
      <c r="C973" s="18" t="str">
        <f t="shared" si="61"/>
        <v>Sunday</v>
      </c>
      <c r="D973" s="10" t="str">
        <f t="shared" si="62"/>
        <v>Same</v>
      </c>
      <c r="E973" s="2">
        <v>38.43</v>
      </c>
      <c r="F973" s="2">
        <v>3</v>
      </c>
      <c r="G973" s="1">
        <f t="shared" si="63"/>
        <v>7.8064012490242002E-2</v>
      </c>
      <c r="H973" s="2">
        <v>1.5</v>
      </c>
      <c r="I973" s="26">
        <v>0.72986111111111107</v>
      </c>
      <c r="J973" s="26">
        <v>0.76388888888888884</v>
      </c>
      <c r="K973" s="27">
        <f>Table3[[#This Row],[Delivery Time]]-Table3[[#This Row],[Order Time]]</f>
        <v>3.4027777777777768E-2</v>
      </c>
      <c r="L973" s="43">
        <v>49</v>
      </c>
      <c r="M973" s="25" t="s">
        <v>11</v>
      </c>
      <c r="N973" s="28"/>
      <c r="O973" s="28" t="s">
        <v>39</v>
      </c>
      <c r="P973" s="25" t="s">
        <v>20</v>
      </c>
    </row>
    <row r="974" spans="1:16" x14ac:dyDescent="0.25">
      <c r="A974" s="23">
        <f t="shared" si="60"/>
        <v>973</v>
      </c>
      <c r="B974" s="24">
        <v>43261</v>
      </c>
      <c r="C974" s="18" t="str">
        <f t="shared" si="61"/>
        <v>Sunday</v>
      </c>
      <c r="D974" s="10" t="str">
        <f t="shared" si="62"/>
        <v>Same</v>
      </c>
      <c r="E974" s="2">
        <v>31.07</v>
      </c>
      <c r="F974" s="2">
        <v>7</v>
      </c>
      <c r="G974" s="1">
        <f t="shared" si="63"/>
        <v>0.2252977148374638</v>
      </c>
      <c r="H974" s="2">
        <v>1.5</v>
      </c>
      <c r="I974" s="26">
        <v>0.77847222222222223</v>
      </c>
      <c r="J974" s="26">
        <v>0.7993055555555556</v>
      </c>
      <c r="K974" s="27">
        <f>Table3[[#This Row],[Delivery Time]]-Table3[[#This Row],[Order Time]]</f>
        <v>2.083333333333337E-2</v>
      </c>
      <c r="L974" s="43">
        <v>30</v>
      </c>
      <c r="M974" s="25" t="s">
        <v>12</v>
      </c>
      <c r="N974" s="28"/>
      <c r="O974" s="28" t="s">
        <v>39</v>
      </c>
      <c r="P974" s="25" t="s">
        <v>20</v>
      </c>
    </row>
    <row r="975" spans="1:16" x14ac:dyDescent="0.25">
      <c r="A975" s="23">
        <f t="shared" si="60"/>
        <v>974</v>
      </c>
      <c r="B975" s="24">
        <v>43261</v>
      </c>
      <c r="C975" s="18" t="str">
        <f t="shared" si="61"/>
        <v>Sunday</v>
      </c>
      <c r="D975" s="10" t="str">
        <f t="shared" si="62"/>
        <v>Same</v>
      </c>
      <c r="E975" s="2">
        <v>34.1</v>
      </c>
      <c r="F975" s="2">
        <v>5</v>
      </c>
      <c r="G975" s="1">
        <f t="shared" si="63"/>
        <v>0.14662756598240467</v>
      </c>
      <c r="H975" s="2">
        <v>1.5</v>
      </c>
      <c r="I975" s="26">
        <v>0.82847222222222217</v>
      </c>
      <c r="J975" s="26">
        <v>0.85277777777777775</v>
      </c>
      <c r="K975" s="27">
        <f>Table3[[#This Row],[Delivery Time]]-Table3[[#This Row],[Order Time]]</f>
        <v>2.430555555555558E-2</v>
      </c>
      <c r="L975" s="43">
        <v>35</v>
      </c>
      <c r="M975" s="25" t="s">
        <v>0</v>
      </c>
      <c r="N975" s="28"/>
      <c r="O975" s="28" t="s">
        <v>39</v>
      </c>
      <c r="P975" s="25" t="s">
        <v>20</v>
      </c>
    </row>
    <row r="976" spans="1:16" x14ac:dyDescent="0.25">
      <c r="A976" s="23">
        <f t="shared" si="60"/>
        <v>975</v>
      </c>
      <c r="B976" s="24">
        <v>43261</v>
      </c>
      <c r="C976" s="18" t="str">
        <f t="shared" si="61"/>
        <v>Sunday</v>
      </c>
      <c r="D976" s="10" t="str">
        <f t="shared" si="62"/>
        <v>Same</v>
      </c>
      <c r="E976" s="2">
        <v>18.399999999999999</v>
      </c>
      <c r="F976" s="2">
        <v>5</v>
      </c>
      <c r="G976" s="1">
        <f t="shared" si="63"/>
        <v>0.27173913043478265</v>
      </c>
      <c r="H976" s="2">
        <v>1.5</v>
      </c>
      <c r="I976" s="26">
        <v>0.82916666666666661</v>
      </c>
      <c r="J976" s="26">
        <v>0.86111111111111116</v>
      </c>
      <c r="K976" s="27">
        <f>Table3[[#This Row],[Delivery Time]]-Table3[[#This Row],[Order Time]]</f>
        <v>3.1944444444444553E-2</v>
      </c>
      <c r="L976" s="43">
        <v>46.000000000000007</v>
      </c>
      <c r="M976" s="25" t="s">
        <v>0</v>
      </c>
      <c r="N976" s="28"/>
      <c r="O976" s="28" t="s">
        <v>40</v>
      </c>
      <c r="P976" s="25" t="s">
        <v>20</v>
      </c>
    </row>
    <row r="977" spans="1:16" x14ac:dyDescent="0.25">
      <c r="A977" s="23">
        <f t="shared" si="60"/>
        <v>976</v>
      </c>
      <c r="B977" s="24">
        <v>43261</v>
      </c>
      <c r="C977" s="18" t="str">
        <f t="shared" si="61"/>
        <v>Sunday</v>
      </c>
      <c r="D977" s="10" t="str">
        <f t="shared" si="62"/>
        <v>Same</v>
      </c>
      <c r="E977" s="2">
        <v>47.58</v>
      </c>
      <c r="F977" s="2">
        <v>7</v>
      </c>
      <c r="G977" s="1">
        <f t="shared" si="63"/>
        <v>0.14712063892391761</v>
      </c>
      <c r="H977" s="2">
        <v>5</v>
      </c>
      <c r="I977" s="26">
        <v>0.85555555555555562</v>
      </c>
      <c r="J977" s="26">
        <v>0.8847222222222223</v>
      </c>
      <c r="K977" s="27">
        <f>Table3[[#This Row],[Delivery Time]]-Table3[[#This Row],[Order Time]]</f>
        <v>2.9166666666666674E-2</v>
      </c>
      <c r="L977" s="43">
        <v>42</v>
      </c>
      <c r="M977" s="25" t="s">
        <v>0</v>
      </c>
      <c r="N977" s="28"/>
      <c r="O977" s="28" t="s">
        <v>39</v>
      </c>
      <c r="P977" s="25" t="s">
        <v>20</v>
      </c>
    </row>
    <row r="978" spans="1:16" x14ac:dyDescent="0.25">
      <c r="A978" s="23">
        <f t="shared" si="60"/>
        <v>977</v>
      </c>
      <c r="B978" s="24">
        <v>43266</v>
      </c>
      <c r="C978" s="18" t="str">
        <f t="shared" si="61"/>
        <v>Friday</v>
      </c>
      <c r="D978" s="10" t="str">
        <f t="shared" si="62"/>
        <v>Different</v>
      </c>
      <c r="E978" s="2">
        <v>61.59</v>
      </c>
      <c r="F978" s="2">
        <v>7</v>
      </c>
      <c r="G978" s="1">
        <f t="shared" si="63"/>
        <v>0.11365481409319694</v>
      </c>
      <c r="H978" s="2">
        <v>5</v>
      </c>
      <c r="I978" s="26">
        <v>0.71875</v>
      </c>
      <c r="J978" s="26">
        <v>0.71875</v>
      </c>
      <c r="K978" s="27">
        <f>Table3[[#This Row],[Delivery Time]]-Table3[[#This Row],[Order Time]]</f>
        <v>0</v>
      </c>
      <c r="L978" s="43">
        <v>0</v>
      </c>
      <c r="M978" s="25" t="s">
        <v>0</v>
      </c>
      <c r="N978" s="28"/>
      <c r="O978" s="28" t="s">
        <v>39</v>
      </c>
      <c r="P978" s="25" t="s">
        <v>16</v>
      </c>
    </row>
    <row r="979" spans="1:16" x14ac:dyDescent="0.25">
      <c r="A979" s="23">
        <f t="shared" si="60"/>
        <v>978</v>
      </c>
      <c r="B979" s="24">
        <v>43266</v>
      </c>
      <c r="C979" s="18" t="str">
        <f t="shared" si="61"/>
        <v>Friday</v>
      </c>
      <c r="D979" s="10" t="str">
        <f t="shared" si="62"/>
        <v>Same</v>
      </c>
      <c r="E979" s="2">
        <v>32.479999999999997</v>
      </c>
      <c r="F979" s="2">
        <v>4.5199999999999996</v>
      </c>
      <c r="G979" s="1">
        <f t="shared" si="63"/>
        <v>0.13916256157635468</v>
      </c>
      <c r="H979" s="2">
        <v>1.5</v>
      </c>
      <c r="I979" s="26">
        <v>0.69791666666666663</v>
      </c>
      <c r="J979" s="26">
        <v>0.73541666666666661</v>
      </c>
      <c r="K979" s="27">
        <f>Table3[[#This Row],[Delivery Time]]-Table3[[#This Row],[Order Time]]</f>
        <v>3.7499999999999978E-2</v>
      </c>
      <c r="L979" s="43">
        <v>53.999999999999993</v>
      </c>
      <c r="M979" s="25" t="s">
        <v>0</v>
      </c>
      <c r="N979" s="28" t="s">
        <v>25</v>
      </c>
      <c r="O979" s="28" t="s">
        <v>39</v>
      </c>
      <c r="P979" s="25" t="s">
        <v>20</v>
      </c>
    </row>
    <row r="980" spans="1:16" x14ac:dyDescent="0.25">
      <c r="A980" s="23">
        <f t="shared" si="60"/>
        <v>979</v>
      </c>
      <c r="B980" s="24">
        <v>43266</v>
      </c>
      <c r="C980" s="18" t="str">
        <f t="shared" si="61"/>
        <v>Friday</v>
      </c>
      <c r="D980" s="10" t="str">
        <f t="shared" si="62"/>
        <v>Same</v>
      </c>
      <c r="E980" s="2">
        <v>32.96</v>
      </c>
      <c r="F980" s="2">
        <v>3</v>
      </c>
      <c r="G980" s="1">
        <f t="shared" si="63"/>
        <v>9.1019417475728157E-2</v>
      </c>
      <c r="H980" s="2">
        <v>1.5</v>
      </c>
      <c r="I980" s="26">
        <v>0.77083333333333337</v>
      </c>
      <c r="J980" s="26">
        <v>0.77083333333333337</v>
      </c>
      <c r="K980" s="27">
        <f>Table3[[#This Row],[Delivery Time]]-Table3[[#This Row],[Order Time]]</f>
        <v>0</v>
      </c>
      <c r="L980" s="43">
        <v>0</v>
      </c>
      <c r="M980" s="25" t="s">
        <v>11</v>
      </c>
      <c r="N980" s="28"/>
      <c r="O980" s="28" t="s">
        <v>39</v>
      </c>
      <c r="P980" s="25" t="s">
        <v>16</v>
      </c>
    </row>
    <row r="981" spans="1:16" x14ac:dyDescent="0.25">
      <c r="A981" s="23">
        <f t="shared" si="60"/>
        <v>980</v>
      </c>
      <c r="B981" s="24">
        <v>43266</v>
      </c>
      <c r="C981" s="18" t="str">
        <f t="shared" si="61"/>
        <v>Friday</v>
      </c>
      <c r="D981" s="10" t="str">
        <f t="shared" si="62"/>
        <v>Same</v>
      </c>
      <c r="E981" s="2">
        <v>41.84</v>
      </c>
      <c r="F981" s="2">
        <v>6</v>
      </c>
      <c r="G981" s="1">
        <f t="shared" si="63"/>
        <v>0.14340344168260036</v>
      </c>
      <c r="H981" s="2">
        <v>1.5</v>
      </c>
      <c r="I981" s="26">
        <v>0.75763888888888886</v>
      </c>
      <c r="J981" s="26">
        <v>0.77847222222222223</v>
      </c>
      <c r="K981" s="27">
        <f>Table3[[#This Row],[Delivery Time]]-Table3[[#This Row],[Order Time]]</f>
        <v>2.083333333333337E-2</v>
      </c>
      <c r="L981" s="43">
        <v>30</v>
      </c>
      <c r="M981" s="25" t="s">
        <v>11</v>
      </c>
      <c r="N981" s="28"/>
      <c r="O981" s="28" t="s">
        <v>39</v>
      </c>
      <c r="P981" s="25" t="s">
        <v>20</v>
      </c>
    </row>
    <row r="982" spans="1:16" x14ac:dyDescent="0.25">
      <c r="A982" s="23">
        <f t="shared" si="60"/>
        <v>981</v>
      </c>
      <c r="B982" s="24">
        <v>43266</v>
      </c>
      <c r="C982" s="18" t="str">
        <f t="shared" si="61"/>
        <v>Friday</v>
      </c>
      <c r="D982" s="10" t="str">
        <f t="shared" si="62"/>
        <v>Same</v>
      </c>
      <c r="E982" s="2">
        <v>50.5</v>
      </c>
      <c r="F982" s="2">
        <v>6</v>
      </c>
      <c r="G982" s="1">
        <f t="shared" si="63"/>
        <v>0.11881188118811881</v>
      </c>
      <c r="H982" s="2">
        <v>1.5</v>
      </c>
      <c r="I982" s="26">
        <v>0.78472222222222221</v>
      </c>
      <c r="J982" s="26">
        <v>0.81527777777777777</v>
      </c>
      <c r="K982" s="27">
        <f>Table3[[#This Row],[Delivery Time]]-Table3[[#This Row],[Order Time]]</f>
        <v>3.0555555555555558E-2</v>
      </c>
      <c r="L982" s="43">
        <v>44</v>
      </c>
      <c r="M982" s="25" t="s">
        <v>11</v>
      </c>
      <c r="N982" s="28"/>
      <c r="O982" s="28" t="s">
        <v>39</v>
      </c>
      <c r="P982" s="25" t="s">
        <v>20</v>
      </c>
    </row>
    <row r="983" spans="1:16" x14ac:dyDescent="0.25">
      <c r="A983" s="23">
        <f t="shared" si="60"/>
        <v>982</v>
      </c>
      <c r="B983" s="24">
        <v>43266</v>
      </c>
      <c r="C983" s="18" t="str">
        <f t="shared" si="61"/>
        <v>Friday</v>
      </c>
      <c r="D983" s="10" t="str">
        <f t="shared" si="62"/>
        <v>Same</v>
      </c>
      <c r="E983" s="2">
        <v>33.56</v>
      </c>
      <c r="F983" s="2">
        <v>7</v>
      </c>
      <c r="G983" s="1">
        <f t="shared" si="63"/>
        <v>0.20858164481525623</v>
      </c>
      <c r="H983" s="2">
        <v>1.5</v>
      </c>
      <c r="I983" s="26">
        <v>0.79375000000000007</v>
      </c>
      <c r="J983" s="26">
        <v>0.82638888888888884</v>
      </c>
      <c r="K983" s="27">
        <f>Table3[[#This Row],[Delivery Time]]-Table3[[#This Row],[Order Time]]</f>
        <v>3.2638888888888773E-2</v>
      </c>
      <c r="L983" s="43">
        <v>47.000000000000007</v>
      </c>
      <c r="M983" s="25" t="s">
        <v>11</v>
      </c>
      <c r="N983" s="28"/>
      <c r="O983" s="28" t="s">
        <v>39</v>
      </c>
      <c r="P983" s="25" t="s">
        <v>20</v>
      </c>
    </row>
    <row r="984" spans="1:16" x14ac:dyDescent="0.25">
      <c r="A984" s="23">
        <f t="shared" ref="A984:A1047" si="64">ROW(A983)</f>
        <v>983</v>
      </c>
      <c r="B984" s="24">
        <v>43266</v>
      </c>
      <c r="C984" s="18" t="str">
        <f t="shared" si="61"/>
        <v>Friday</v>
      </c>
      <c r="D984" s="10" t="str">
        <f t="shared" si="62"/>
        <v>Same</v>
      </c>
      <c r="E984" s="2">
        <v>22.14</v>
      </c>
      <c r="F984" s="2">
        <v>4</v>
      </c>
      <c r="G984" s="1">
        <f t="shared" si="63"/>
        <v>0.18066847335140018</v>
      </c>
      <c r="H984" s="2">
        <v>1.5</v>
      </c>
      <c r="I984" s="26">
        <v>0.84166666666666667</v>
      </c>
      <c r="J984" s="26">
        <v>0.8618055555555556</v>
      </c>
      <c r="K984" s="27">
        <f>Table3[[#This Row],[Delivery Time]]-Table3[[#This Row],[Order Time]]</f>
        <v>2.0138888888888928E-2</v>
      </c>
      <c r="L984" s="43">
        <v>29.000000000000004</v>
      </c>
      <c r="M984" s="25" t="s">
        <v>0</v>
      </c>
      <c r="N984" s="28"/>
      <c r="O984" s="28" t="s">
        <v>41</v>
      </c>
      <c r="P984" s="25" t="s">
        <v>20</v>
      </c>
    </row>
    <row r="985" spans="1:16" x14ac:dyDescent="0.25">
      <c r="A985" s="23">
        <f t="shared" si="64"/>
        <v>984</v>
      </c>
      <c r="B985" s="24">
        <v>43267</v>
      </c>
      <c r="C985" s="18" t="str">
        <f t="shared" si="61"/>
        <v>Saturday</v>
      </c>
      <c r="D985" s="10" t="str">
        <f t="shared" si="62"/>
        <v>Different</v>
      </c>
      <c r="E985" s="2">
        <v>27.55</v>
      </c>
      <c r="F985" s="2">
        <v>2</v>
      </c>
      <c r="G985" s="1">
        <f t="shared" si="63"/>
        <v>7.2595281306715068E-2</v>
      </c>
      <c r="H985" s="2">
        <v>5</v>
      </c>
      <c r="I985" s="26">
        <v>0.68819444444444444</v>
      </c>
      <c r="J985" s="26">
        <v>0.71805555555555556</v>
      </c>
      <c r="K985" s="27">
        <f>Table3[[#This Row],[Delivery Time]]-Table3[[#This Row],[Order Time]]</f>
        <v>2.9861111111111116E-2</v>
      </c>
      <c r="L985" s="43">
        <v>43</v>
      </c>
      <c r="M985" s="25" t="s">
        <v>0</v>
      </c>
      <c r="N985" s="28"/>
      <c r="O985" s="28" t="s">
        <v>39</v>
      </c>
      <c r="P985" s="25" t="s">
        <v>20</v>
      </c>
    </row>
    <row r="986" spans="1:16" x14ac:dyDescent="0.25">
      <c r="A986" s="23">
        <f t="shared" si="64"/>
        <v>985</v>
      </c>
      <c r="B986" s="24">
        <v>43267</v>
      </c>
      <c r="C986" s="18" t="str">
        <f t="shared" si="61"/>
        <v>Saturday</v>
      </c>
      <c r="D986" s="10" t="str">
        <f t="shared" si="62"/>
        <v>Same</v>
      </c>
      <c r="E986" s="2">
        <v>27.82</v>
      </c>
      <c r="F986" s="2">
        <v>3</v>
      </c>
      <c r="G986" s="1">
        <f t="shared" si="63"/>
        <v>0.10783608914450035</v>
      </c>
      <c r="H986" s="2">
        <v>5</v>
      </c>
      <c r="I986" s="26">
        <v>0.7597222222222223</v>
      </c>
      <c r="J986" s="26">
        <v>0.79027777777777775</v>
      </c>
      <c r="K986" s="27">
        <f>Table3[[#This Row],[Delivery Time]]-Table3[[#This Row],[Order Time]]</f>
        <v>3.0555555555555447E-2</v>
      </c>
      <c r="L986" s="43">
        <v>44</v>
      </c>
      <c r="M986" s="25" t="s">
        <v>0</v>
      </c>
      <c r="N986" s="28"/>
      <c r="O986" s="28" t="s">
        <v>39</v>
      </c>
      <c r="P986" s="25" t="s">
        <v>20</v>
      </c>
    </row>
    <row r="987" spans="1:16" x14ac:dyDescent="0.25">
      <c r="A987" s="23">
        <f t="shared" si="64"/>
        <v>986</v>
      </c>
      <c r="B987" s="24">
        <v>43267</v>
      </c>
      <c r="C987" s="18" t="str">
        <f t="shared" si="61"/>
        <v>Saturday</v>
      </c>
      <c r="D987" s="10" t="str">
        <f t="shared" si="62"/>
        <v>Same</v>
      </c>
      <c r="E987" s="2">
        <v>27.28</v>
      </c>
      <c r="F987" s="2">
        <v>7.72</v>
      </c>
      <c r="G987" s="1">
        <f t="shared" si="63"/>
        <v>0.28299120234604103</v>
      </c>
      <c r="H987" s="2">
        <v>5</v>
      </c>
      <c r="I987" s="26">
        <v>0.77222222222222225</v>
      </c>
      <c r="J987" s="26">
        <v>0.7993055555555556</v>
      </c>
      <c r="K987" s="27">
        <f>Table3[[#This Row],[Delivery Time]]-Table3[[#This Row],[Order Time]]</f>
        <v>2.7083333333333348E-2</v>
      </c>
      <c r="L987" s="43">
        <v>39</v>
      </c>
      <c r="M987" s="25" t="s">
        <v>0</v>
      </c>
      <c r="N987" s="28"/>
      <c r="O987" s="28" t="s">
        <v>39</v>
      </c>
      <c r="P987" s="25" t="s">
        <v>20</v>
      </c>
    </row>
    <row r="988" spans="1:16" x14ac:dyDescent="0.25">
      <c r="A988" s="23">
        <f t="shared" si="64"/>
        <v>987</v>
      </c>
      <c r="B988" s="24">
        <v>43267</v>
      </c>
      <c r="C988" s="18" t="str">
        <f t="shared" si="61"/>
        <v>Saturday</v>
      </c>
      <c r="D988" s="10" t="str">
        <f t="shared" si="62"/>
        <v>Same</v>
      </c>
      <c r="E988" s="2">
        <v>51.64</v>
      </c>
      <c r="F988" s="2">
        <v>7</v>
      </c>
      <c r="G988" s="1">
        <f t="shared" si="63"/>
        <v>0.13555383423702555</v>
      </c>
      <c r="H988" s="2">
        <v>1.5</v>
      </c>
      <c r="I988" s="26">
        <v>0.7715277777777777</v>
      </c>
      <c r="J988" s="26">
        <v>0.81805555555555554</v>
      </c>
      <c r="K988" s="27">
        <f>Table3[[#This Row],[Delivery Time]]-Table3[[#This Row],[Order Time]]</f>
        <v>4.6527777777777835E-2</v>
      </c>
      <c r="L988" s="43">
        <v>67</v>
      </c>
      <c r="M988" s="25" t="s">
        <v>0</v>
      </c>
      <c r="N988" s="28"/>
      <c r="O988" s="28" t="s">
        <v>41</v>
      </c>
      <c r="P988" s="25" t="s">
        <v>20</v>
      </c>
    </row>
    <row r="989" spans="1:16" x14ac:dyDescent="0.25">
      <c r="A989" s="23">
        <f t="shared" si="64"/>
        <v>988</v>
      </c>
      <c r="B989" s="24">
        <v>43268</v>
      </c>
      <c r="C989" s="18" t="str">
        <f t="shared" si="61"/>
        <v>Sunday</v>
      </c>
      <c r="D989" s="10" t="str">
        <f t="shared" si="62"/>
        <v>Different</v>
      </c>
      <c r="E989" s="2">
        <v>106.41</v>
      </c>
      <c r="F989" s="2">
        <v>20</v>
      </c>
      <c r="G989" s="1">
        <f t="shared" si="63"/>
        <v>0.18795226012592803</v>
      </c>
      <c r="H989" s="2">
        <v>1.5</v>
      </c>
      <c r="I989" s="26">
        <v>0.71666666666666667</v>
      </c>
      <c r="J989" s="26">
        <v>0.75069444444444444</v>
      </c>
      <c r="K989" s="27">
        <f>Table3[[#This Row],[Delivery Time]]-Table3[[#This Row],[Order Time]]</f>
        <v>3.4027777777777768E-2</v>
      </c>
      <c r="L989" s="43">
        <v>49</v>
      </c>
      <c r="M989" s="25" t="s">
        <v>12</v>
      </c>
      <c r="N989" s="28"/>
      <c r="O989" s="28" t="s">
        <v>39</v>
      </c>
      <c r="P989" s="25" t="s">
        <v>20</v>
      </c>
    </row>
    <row r="990" spans="1:16" x14ac:dyDescent="0.25">
      <c r="A990" s="23">
        <f t="shared" si="64"/>
        <v>989</v>
      </c>
      <c r="B990" s="24">
        <v>43268</v>
      </c>
      <c r="C990" s="18" t="str">
        <f t="shared" si="61"/>
        <v>Sunday</v>
      </c>
      <c r="D990" s="10" t="str">
        <f t="shared" si="62"/>
        <v>Same</v>
      </c>
      <c r="E990" s="2">
        <v>52.93</v>
      </c>
      <c r="F990" s="2">
        <v>10</v>
      </c>
      <c r="G990" s="1">
        <f t="shared" si="63"/>
        <v>0.1889287738522577</v>
      </c>
      <c r="H990" s="2">
        <v>5</v>
      </c>
      <c r="I990" s="26">
        <v>0.71458333333333324</v>
      </c>
      <c r="J990" s="26">
        <v>0.75902777777777775</v>
      </c>
      <c r="K990" s="27">
        <f>Table3[[#This Row],[Delivery Time]]-Table3[[#This Row],[Order Time]]</f>
        <v>4.4444444444444509E-2</v>
      </c>
      <c r="L990" s="43">
        <v>64</v>
      </c>
      <c r="M990" s="25" t="s">
        <v>12</v>
      </c>
      <c r="N990" s="28"/>
      <c r="O990" s="28" t="s">
        <v>39</v>
      </c>
      <c r="P990" s="25" t="s">
        <v>20</v>
      </c>
    </row>
    <row r="991" spans="1:16" x14ac:dyDescent="0.25">
      <c r="A991" s="23">
        <f t="shared" si="64"/>
        <v>990</v>
      </c>
      <c r="B991" s="24">
        <v>43268</v>
      </c>
      <c r="C991" s="18" t="str">
        <f t="shared" si="61"/>
        <v>Sunday</v>
      </c>
      <c r="D991" s="10" t="str">
        <f t="shared" si="62"/>
        <v>Same</v>
      </c>
      <c r="E991" s="2">
        <v>35.07</v>
      </c>
      <c r="F991" s="2">
        <v>3</v>
      </c>
      <c r="G991" s="1">
        <f t="shared" si="63"/>
        <v>8.5543199315654406E-2</v>
      </c>
      <c r="H991" s="2">
        <v>1.5</v>
      </c>
      <c r="I991" s="26">
        <v>0.77361111111111114</v>
      </c>
      <c r="J991" s="26">
        <v>0.79652777777777783</v>
      </c>
      <c r="K991" s="27">
        <f>Table3[[#This Row],[Delivery Time]]-Table3[[#This Row],[Order Time]]</f>
        <v>2.2916666666666696E-2</v>
      </c>
      <c r="L991" s="43">
        <v>33</v>
      </c>
      <c r="M991" s="25" t="s">
        <v>11</v>
      </c>
      <c r="N991" s="28"/>
      <c r="O991" s="28" t="s">
        <v>39</v>
      </c>
      <c r="P991" s="25" t="s">
        <v>20</v>
      </c>
    </row>
    <row r="992" spans="1:16" x14ac:dyDescent="0.25">
      <c r="A992" s="23">
        <f t="shared" si="64"/>
        <v>991</v>
      </c>
      <c r="B992" s="24">
        <v>43268</v>
      </c>
      <c r="C992" s="18" t="str">
        <f t="shared" si="61"/>
        <v>Sunday</v>
      </c>
      <c r="D992" s="10" t="str">
        <f t="shared" si="62"/>
        <v>Same</v>
      </c>
      <c r="E992" s="2">
        <v>29.99</v>
      </c>
      <c r="F992" s="2">
        <v>8.01</v>
      </c>
      <c r="G992" s="1">
        <f t="shared" si="63"/>
        <v>0.26708902967655884</v>
      </c>
      <c r="H992" s="2">
        <v>1.5</v>
      </c>
      <c r="I992" s="26">
        <v>0.82291666666666663</v>
      </c>
      <c r="J992" s="26">
        <v>0.82291666666666663</v>
      </c>
      <c r="K992" s="27">
        <f>Table3[[#This Row],[Delivery Time]]-Table3[[#This Row],[Order Time]]</f>
        <v>0</v>
      </c>
      <c r="L992" s="43">
        <v>0</v>
      </c>
      <c r="M992" s="25" t="s">
        <v>0</v>
      </c>
      <c r="N992" s="28" t="s">
        <v>25</v>
      </c>
      <c r="O992" s="28" t="s">
        <v>39</v>
      </c>
      <c r="P992" s="25" t="s">
        <v>16</v>
      </c>
    </row>
    <row r="993" spans="1:16" x14ac:dyDescent="0.25">
      <c r="A993" s="23">
        <f t="shared" si="64"/>
        <v>992</v>
      </c>
      <c r="B993" s="24">
        <v>43268</v>
      </c>
      <c r="C993" s="18" t="str">
        <f t="shared" si="61"/>
        <v>Sunday</v>
      </c>
      <c r="D993" s="10" t="str">
        <f t="shared" si="62"/>
        <v>Same</v>
      </c>
      <c r="E993" s="2">
        <v>38.92</v>
      </c>
      <c r="F993" s="2">
        <v>3.08</v>
      </c>
      <c r="G993" s="1">
        <f t="shared" si="63"/>
        <v>7.9136690647482008E-2</v>
      </c>
      <c r="H993" s="2">
        <v>1.5</v>
      </c>
      <c r="I993" s="26">
        <v>0.80347222222222225</v>
      </c>
      <c r="J993" s="26">
        <v>0.82777777777777783</v>
      </c>
      <c r="K993" s="27">
        <f>Table3[[#This Row],[Delivery Time]]-Table3[[#This Row],[Order Time]]</f>
        <v>2.430555555555558E-2</v>
      </c>
      <c r="L993" s="43">
        <v>35</v>
      </c>
      <c r="M993" s="25" t="s">
        <v>0</v>
      </c>
      <c r="N993" s="28"/>
      <c r="O993" s="28" t="s">
        <v>39</v>
      </c>
      <c r="P993" s="25" t="s">
        <v>20</v>
      </c>
    </row>
    <row r="994" spans="1:16" x14ac:dyDescent="0.25">
      <c r="A994" s="23">
        <f t="shared" si="64"/>
        <v>993</v>
      </c>
      <c r="B994" s="24">
        <v>43268</v>
      </c>
      <c r="C994" s="18" t="str">
        <f t="shared" si="61"/>
        <v>Sunday</v>
      </c>
      <c r="D994" s="10" t="str">
        <f t="shared" si="62"/>
        <v>Same</v>
      </c>
      <c r="E994" s="2">
        <v>16.18</v>
      </c>
      <c r="F994" s="2">
        <v>3</v>
      </c>
      <c r="G994" s="1">
        <f t="shared" si="63"/>
        <v>0.18541409147095181</v>
      </c>
      <c r="H994" s="2">
        <v>1.5</v>
      </c>
      <c r="I994" s="26">
        <v>0.80972222222222223</v>
      </c>
      <c r="J994" s="26">
        <v>0.83333333333333337</v>
      </c>
      <c r="K994" s="27">
        <f>Table3[[#This Row],[Delivery Time]]-Table3[[#This Row],[Order Time]]</f>
        <v>2.3611111111111138E-2</v>
      </c>
      <c r="L994" s="43">
        <v>34</v>
      </c>
      <c r="M994" s="25" t="s">
        <v>0</v>
      </c>
      <c r="N994" s="28"/>
      <c r="O994" s="28" t="s">
        <v>39</v>
      </c>
      <c r="P994" s="25" t="s">
        <v>20</v>
      </c>
    </row>
    <row r="995" spans="1:16" x14ac:dyDescent="0.25">
      <c r="A995" s="23">
        <f t="shared" si="64"/>
        <v>994</v>
      </c>
      <c r="B995" s="24">
        <v>43273</v>
      </c>
      <c r="C995" s="18" t="str">
        <f t="shared" si="61"/>
        <v>Friday</v>
      </c>
      <c r="D995" s="10" t="str">
        <f t="shared" si="62"/>
        <v>Different</v>
      </c>
      <c r="E995" s="2">
        <v>45.41</v>
      </c>
      <c r="F995" s="2">
        <v>5</v>
      </c>
      <c r="G995" s="1">
        <f t="shared" si="63"/>
        <v>0.11010790574763268</v>
      </c>
      <c r="H995" s="2">
        <v>5</v>
      </c>
      <c r="I995" s="26">
        <v>0.70208333333333339</v>
      </c>
      <c r="J995" s="26">
        <v>0.73125000000000007</v>
      </c>
      <c r="K995" s="27">
        <f>Table3[[#This Row],[Delivery Time]]-Table3[[#This Row],[Order Time]]</f>
        <v>2.9166666666666674E-2</v>
      </c>
      <c r="L995" s="43">
        <v>42</v>
      </c>
      <c r="M995" s="25" t="s">
        <v>0</v>
      </c>
      <c r="N995" s="28"/>
      <c r="O995" s="28" t="s">
        <v>39</v>
      </c>
      <c r="P995" s="25" t="s">
        <v>20</v>
      </c>
    </row>
    <row r="996" spans="1:16" x14ac:dyDescent="0.25">
      <c r="A996" s="23">
        <f t="shared" si="64"/>
        <v>995</v>
      </c>
      <c r="B996" s="24">
        <v>43273</v>
      </c>
      <c r="C996" s="18" t="str">
        <f t="shared" si="61"/>
        <v>Friday</v>
      </c>
      <c r="D996" s="10" t="str">
        <f t="shared" si="62"/>
        <v>Same</v>
      </c>
      <c r="E996" s="2">
        <v>51.31</v>
      </c>
      <c r="F996" s="2">
        <v>5</v>
      </c>
      <c r="G996" s="1">
        <f t="shared" si="63"/>
        <v>9.7446891444162922E-2</v>
      </c>
      <c r="H996" s="2">
        <v>5</v>
      </c>
      <c r="I996" s="26">
        <v>0.77083333333333337</v>
      </c>
      <c r="J996" s="26">
        <v>0.77083333333333337</v>
      </c>
      <c r="K996" s="27">
        <f>Table3[[#This Row],[Delivery Time]]-Table3[[#This Row],[Order Time]]</f>
        <v>0</v>
      </c>
      <c r="L996" s="43">
        <v>0</v>
      </c>
      <c r="M996" s="25" t="s">
        <v>1</v>
      </c>
      <c r="N996" s="28"/>
      <c r="O996" s="28" t="s">
        <v>39</v>
      </c>
      <c r="P996" s="25" t="s">
        <v>16</v>
      </c>
    </row>
    <row r="997" spans="1:16" x14ac:dyDescent="0.25">
      <c r="A997" s="23">
        <f t="shared" si="64"/>
        <v>996</v>
      </c>
      <c r="B997" s="24">
        <v>43273</v>
      </c>
      <c r="C997" s="18" t="str">
        <f t="shared" si="61"/>
        <v>Friday</v>
      </c>
      <c r="D997" s="10" t="str">
        <f t="shared" si="62"/>
        <v>Same</v>
      </c>
      <c r="E997" s="2">
        <v>44.6</v>
      </c>
      <c r="F997" s="2">
        <v>5</v>
      </c>
      <c r="G997" s="1">
        <f t="shared" si="63"/>
        <v>0.11210762331838564</v>
      </c>
      <c r="H997" s="2">
        <v>5</v>
      </c>
      <c r="I997" s="26">
        <v>0.77847222222222223</v>
      </c>
      <c r="J997" s="26">
        <v>0.80625000000000002</v>
      </c>
      <c r="K997" s="27">
        <f>Table3[[#This Row],[Delivery Time]]-Table3[[#This Row],[Order Time]]</f>
        <v>2.777777777777779E-2</v>
      </c>
      <c r="L997" s="43">
        <v>40</v>
      </c>
      <c r="M997" s="25" t="s">
        <v>0</v>
      </c>
      <c r="N997" s="28"/>
      <c r="O997" s="28" t="s">
        <v>39</v>
      </c>
      <c r="P997" s="25" t="s">
        <v>20</v>
      </c>
    </row>
    <row r="998" spans="1:16" x14ac:dyDescent="0.25">
      <c r="A998" s="23">
        <f t="shared" si="64"/>
        <v>997</v>
      </c>
      <c r="B998" s="24">
        <v>43275</v>
      </c>
      <c r="C998" s="18" t="str">
        <f t="shared" si="61"/>
        <v>Sunday</v>
      </c>
      <c r="D998" s="10" t="str">
        <f t="shared" si="62"/>
        <v>Different</v>
      </c>
      <c r="E998" s="2">
        <v>22.49</v>
      </c>
      <c r="F998" s="2">
        <v>3</v>
      </c>
      <c r="G998" s="1">
        <f t="shared" si="63"/>
        <v>0.13339261894175189</v>
      </c>
      <c r="H998" s="2">
        <v>1.5</v>
      </c>
      <c r="I998" s="26">
        <v>0.71944444444444444</v>
      </c>
      <c r="J998" s="26">
        <v>0.76180555555555562</v>
      </c>
      <c r="K998" s="27">
        <f>Table3[[#This Row],[Delivery Time]]-Table3[[#This Row],[Order Time]]</f>
        <v>4.2361111111111183E-2</v>
      </c>
      <c r="L998" s="43">
        <v>61</v>
      </c>
      <c r="M998" s="25" t="s">
        <v>0</v>
      </c>
      <c r="N998" s="28"/>
      <c r="O998" s="28" t="s">
        <v>42</v>
      </c>
      <c r="P998" s="25" t="s">
        <v>20</v>
      </c>
    </row>
    <row r="999" spans="1:16" x14ac:dyDescent="0.25">
      <c r="A999" s="23">
        <f t="shared" si="64"/>
        <v>998</v>
      </c>
      <c r="B999" s="24">
        <v>43275</v>
      </c>
      <c r="C999" s="18" t="str">
        <f t="shared" si="61"/>
        <v>Sunday</v>
      </c>
      <c r="D999" s="10" t="str">
        <f t="shared" si="62"/>
        <v>Same</v>
      </c>
      <c r="E999" s="2">
        <v>87.74</v>
      </c>
      <c r="F999" s="2">
        <v>15.26</v>
      </c>
      <c r="G999" s="1">
        <f t="shared" si="63"/>
        <v>0.17392295418281287</v>
      </c>
      <c r="H999" s="2">
        <v>1.5</v>
      </c>
      <c r="I999" s="26">
        <v>0.7284722222222223</v>
      </c>
      <c r="J999" s="26">
        <v>0.77361111111111114</v>
      </c>
      <c r="K999" s="27">
        <f>Table3[[#This Row],[Delivery Time]]-Table3[[#This Row],[Order Time]]</f>
        <v>4.513888888888884E-2</v>
      </c>
      <c r="L999" s="43">
        <v>65</v>
      </c>
      <c r="M999" s="25" t="s">
        <v>0</v>
      </c>
      <c r="N999" s="28"/>
      <c r="O999" s="28" t="s">
        <v>39</v>
      </c>
      <c r="P999" s="25" t="s">
        <v>20</v>
      </c>
    </row>
    <row r="1000" spans="1:16" x14ac:dyDescent="0.25">
      <c r="A1000" s="23">
        <f t="shared" si="64"/>
        <v>999</v>
      </c>
      <c r="B1000" s="24">
        <v>43275</v>
      </c>
      <c r="C1000" s="18" t="str">
        <f t="shared" si="61"/>
        <v>Sunday</v>
      </c>
      <c r="D1000" s="10" t="str">
        <f t="shared" si="62"/>
        <v>Same</v>
      </c>
      <c r="E1000" s="2">
        <v>46.55</v>
      </c>
      <c r="F1000" s="2">
        <v>9</v>
      </c>
      <c r="G1000" s="1">
        <f t="shared" si="63"/>
        <v>0.1933404940923738</v>
      </c>
      <c r="H1000" s="2">
        <v>1.5</v>
      </c>
      <c r="I1000" s="26">
        <v>0.73263888888888884</v>
      </c>
      <c r="J1000" s="26">
        <v>0.78125</v>
      </c>
      <c r="K1000" s="27">
        <f>Table3[[#This Row],[Delivery Time]]-Table3[[#This Row],[Order Time]]</f>
        <v>4.861111111111116E-2</v>
      </c>
      <c r="L1000" s="43">
        <v>70</v>
      </c>
      <c r="M1000" s="25" t="s">
        <v>0</v>
      </c>
      <c r="N1000" s="28"/>
      <c r="O1000" s="28" t="s">
        <v>39</v>
      </c>
      <c r="P1000" s="25" t="s">
        <v>20</v>
      </c>
    </row>
    <row r="1001" spans="1:16" x14ac:dyDescent="0.25">
      <c r="A1001" s="23">
        <f t="shared" si="64"/>
        <v>1000</v>
      </c>
      <c r="B1001" s="24">
        <v>43275</v>
      </c>
      <c r="C1001" s="18" t="str">
        <f t="shared" si="61"/>
        <v>Sunday</v>
      </c>
      <c r="D1001" s="10" t="str">
        <f t="shared" si="62"/>
        <v>Same</v>
      </c>
      <c r="E1001" s="2">
        <v>77.56</v>
      </c>
      <c r="F1001" s="2">
        <v>5</v>
      </c>
      <c r="G1001" s="1">
        <f t="shared" si="63"/>
        <v>6.4466219700876737E-2</v>
      </c>
      <c r="H1001" s="2">
        <v>5</v>
      </c>
      <c r="I1001" s="26">
        <v>0.78888888888888886</v>
      </c>
      <c r="J1001" s="26">
        <v>0.81388888888888899</v>
      </c>
      <c r="K1001" s="27">
        <f>Table3[[#This Row],[Delivery Time]]-Table3[[#This Row],[Order Time]]</f>
        <v>2.5000000000000133E-2</v>
      </c>
      <c r="L1001" s="43">
        <v>36</v>
      </c>
      <c r="M1001" s="25" t="s">
        <v>0</v>
      </c>
      <c r="N1001" s="28"/>
      <c r="O1001" s="28" t="s">
        <v>39</v>
      </c>
      <c r="P1001" s="25" t="s">
        <v>20</v>
      </c>
    </row>
    <row r="1002" spans="1:16" x14ac:dyDescent="0.25">
      <c r="A1002" s="23">
        <f t="shared" si="64"/>
        <v>1001</v>
      </c>
      <c r="B1002" s="24">
        <v>43275</v>
      </c>
      <c r="C1002" s="18" t="str">
        <f t="shared" si="61"/>
        <v>Sunday</v>
      </c>
      <c r="D1002" s="10" t="str">
        <f t="shared" si="62"/>
        <v>Same</v>
      </c>
      <c r="E1002" s="2">
        <v>23.54</v>
      </c>
      <c r="F1002" s="2">
        <v>4</v>
      </c>
      <c r="G1002" s="1">
        <f t="shared" si="63"/>
        <v>0.16992353440951571</v>
      </c>
      <c r="H1002" s="2">
        <v>5</v>
      </c>
      <c r="I1002" s="26">
        <v>0.7895833333333333</v>
      </c>
      <c r="J1002" s="26">
        <v>0.82430555555555562</v>
      </c>
      <c r="K1002" s="27">
        <f>Table3[[#This Row],[Delivery Time]]-Table3[[#This Row],[Order Time]]</f>
        <v>3.4722222222222321E-2</v>
      </c>
      <c r="L1002" s="43">
        <v>50</v>
      </c>
      <c r="M1002" s="25" t="s">
        <v>0</v>
      </c>
      <c r="N1002" s="28"/>
      <c r="O1002" s="28" t="s">
        <v>39</v>
      </c>
      <c r="P1002" s="25" t="s">
        <v>20</v>
      </c>
    </row>
    <row r="1003" spans="1:16" x14ac:dyDescent="0.25">
      <c r="A1003" s="23">
        <f t="shared" si="64"/>
        <v>1002</v>
      </c>
      <c r="B1003" s="24">
        <v>43275</v>
      </c>
      <c r="C1003" s="18" t="str">
        <f t="shared" si="61"/>
        <v>Sunday</v>
      </c>
      <c r="D1003" s="10" t="str">
        <f t="shared" si="62"/>
        <v>Same</v>
      </c>
      <c r="E1003" s="2">
        <v>38.1</v>
      </c>
      <c r="F1003" s="2">
        <v>10</v>
      </c>
      <c r="G1003" s="1">
        <f t="shared" si="63"/>
        <v>0.26246719160104987</v>
      </c>
      <c r="H1003" s="2">
        <v>1.5</v>
      </c>
      <c r="I1003" s="26">
        <v>0.79027777777777775</v>
      </c>
      <c r="J1003" s="26">
        <v>0.83263888888888893</v>
      </c>
      <c r="K1003" s="27">
        <f>Table3[[#This Row],[Delivery Time]]-Table3[[#This Row],[Order Time]]</f>
        <v>4.2361111111111183E-2</v>
      </c>
      <c r="L1003" s="43">
        <v>61</v>
      </c>
      <c r="M1003" s="25" t="s">
        <v>0</v>
      </c>
      <c r="N1003" s="28" t="s">
        <v>22</v>
      </c>
      <c r="O1003" s="28" t="s">
        <v>39</v>
      </c>
      <c r="P1003" s="25" t="s">
        <v>20</v>
      </c>
    </row>
    <row r="1004" spans="1:16" x14ac:dyDescent="0.25">
      <c r="A1004" s="23">
        <f t="shared" si="64"/>
        <v>1003</v>
      </c>
      <c r="B1004" s="24">
        <v>43275</v>
      </c>
      <c r="C1004" s="18" t="str">
        <f t="shared" si="61"/>
        <v>Sunday</v>
      </c>
      <c r="D1004" s="10" t="str">
        <f t="shared" si="62"/>
        <v>Same</v>
      </c>
      <c r="E1004" s="2">
        <v>47.52</v>
      </c>
      <c r="F1004" s="2">
        <v>5</v>
      </c>
      <c r="G1004" s="1">
        <f t="shared" si="63"/>
        <v>0.10521885521885521</v>
      </c>
      <c r="H1004" s="2">
        <v>1.5</v>
      </c>
      <c r="I1004" s="26">
        <v>0.83124999999999993</v>
      </c>
      <c r="J1004" s="26">
        <v>0.85625000000000007</v>
      </c>
      <c r="K1004" s="27">
        <f>Table3[[#This Row],[Delivery Time]]-Table3[[#This Row],[Order Time]]</f>
        <v>2.5000000000000133E-2</v>
      </c>
      <c r="L1004" s="43">
        <v>36</v>
      </c>
      <c r="M1004" s="25" t="s">
        <v>0</v>
      </c>
      <c r="N1004" s="28"/>
      <c r="O1004" s="28" t="s">
        <v>39</v>
      </c>
      <c r="P1004" s="25" t="s">
        <v>20</v>
      </c>
    </row>
    <row r="1005" spans="1:16" x14ac:dyDescent="0.25">
      <c r="A1005" s="23">
        <f t="shared" si="64"/>
        <v>1004</v>
      </c>
      <c r="B1005" s="24">
        <v>43275</v>
      </c>
      <c r="C1005" s="18" t="str">
        <f t="shared" si="61"/>
        <v>Sunday</v>
      </c>
      <c r="D1005" s="10" t="str">
        <f t="shared" si="62"/>
        <v>Same</v>
      </c>
      <c r="E1005" s="2">
        <v>39.19</v>
      </c>
      <c r="F1005" s="2">
        <v>4</v>
      </c>
      <c r="G1005" s="1">
        <f t="shared" si="63"/>
        <v>0.10206685378923196</v>
      </c>
      <c r="H1005" s="2">
        <v>1.5</v>
      </c>
      <c r="I1005" s="26">
        <v>0.8354166666666667</v>
      </c>
      <c r="J1005" s="26">
        <v>0.86319444444444438</v>
      </c>
      <c r="K1005" s="27">
        <f>Table3[[#This Row],[Delivery Time]]-Table3[[#This Row],[Order Time]]</f>
        <v>2.7777777777777679E-2</v>
      </c>
      <c r="L1005" s="43">
        <v>40</v>
      </c>
      <c r="M1005" s="25" t="s">
        <v>0</v>
      </c>
      <c r="N1005" s="28"/>
      <c r="O1005" s="28" t="s">
        <v>39</v>
      </c>
      <c r="P1005" s="25" t="s">
        <v>20</v>
      </c>
    </row>
    <row r="1006" spans="1:16" x14ac:dyDescent="0.25">
      <c r="A1006" s="23">
        <f t="shared" si="64"/>
        <v>1005</v>
      </c>
      <c r="B1006" s="24">
        <v>43276</v>
      </c>
      <c r="C1006" s="18" t="str">
        <f t="shared" si="61"/>
        <v>Monday</v>
      </c>
      <c r="D1006" s="10" t="str">
        <f t="shared" si="62"/>
        <v>Different</v>
      </c>
      <c r="E1006" s="2">
        <v>32.69</v>
      </c>
      <c r="F1006" s="2">
        <v>3.31</v>
      </c>
      <c r="G1006" s="1">
        <f t="shared" si="63"/>
        <v>0.10125420617925972</v>
      </c>
      <c r="H1006" s="2">
        <v>1.5</v>
      </c>
      <c r="I1006" s="26">
        <v>0.77430555555555547</v>
      </c>
      <c r="J1006" s="26">
        <v>0.7993055555555556</v>
      </c>
      <c r="K1006" s="27">
        <f>Table3[[#This Row],[Delivery Time]]-Table3[[#This Row],[Order Time]]</f>
        <v>2.5000000000000133E-2</v>
      </c>
      <c r="L1006" s="43">
        <v>36</v>
      </c>
      <c r="M1006" s="25" t="s">
        <v>0</v>
      </c>
      <c r="N1006" s="28"/>
      <c r="O1006" s="28" t="s">
        <v>39</v>
      </c>
      <c r="P1006" s="25" t="s">
        <v>20</v>
      </c>
    </row>
    <row r="1007" spans="1:16" x14ac:dyDescent="0.25">
      <c r="A1007" s="23">
        <f t="shared" si="64"/>
        <v>1006</v>
      </c>
      <c r="B1007" s="24">
        <v>43276</v>
      </c>
      <c r="C1007" s="18" t="str">
        <f t="shared" si="61"/>
        <v>Monday</v>
      </c>
      <c r="D1007" s="10" t="str">
        <f t="shared" si="62"/>
        <v>Same</v>
      </c>
      <c r="E1007" s="2">
        <v>29.77</v>
      </c>
      <c r="F1007" s="2">
        <v>5.23</v>
      </c>
      <c r="G1007" s="1">
        <f t="shared" si="63"/>
        <v>0.17568021498152503</v>
      </c>
      <c r="H1007" s="2">
        <v>1.5</v>
      </c>
      <c r="I1007" s="26">
        <v>0.78472222222222221</v>
      </c>
      <c r="J1007" s="26">
        <v>0.80347222222222225</v>
      </c>
      <c r="K1007" s="27">
        <f>Table3[[#This Row],[Delivery Time]]-Table3[[#This Row],[Order Time]]</f>
        <v>1.8750000000000044E-2</v>
      </c>
      <c r="L1007" s="43">
        <v>26.999999999999996</v>
      </c>
      <c r="M1007" s="25" t="s">
        <v>0</v>
      </c>
      <c r="N1007" s="28"/>
      <c r="O1007" s="28" t="s">
        <v>39</v>
      </c>
      <c r="P1007" s="25" t="s">
        <v>20</v>
      </c>
    </row>
    <row r="1008" spans="1:16" x14ac:dyDescent="0.25">
      <c r="A1008" s="23">
        <f t="shared" si="64"/>
        <v>1007</v>
      </c>
      <c r="B1008" s="24">
        <v>43276</v>
      </c>
      <c r="C1008" s="18" t="str">
        <f t="shared" si="61"/>
        <v>Monday</v>
      </c>
      <c r="D1008" s="10" t="str">
        <f t="shared" si="62"/>
        <v>Same</v>
      </c>
      <c r="E1008" s="2">
        <v>68.09</v>
      </c>
      <c r="F1008" s="2">
        <v>15</v>
      </c>
      <c r="G1008" s="1">
        <f t="shared" si="63"/>
        <v>0.22029666617711852</v>
      </c>
      <c r="H1008" s="2">
        <v>1.5</v>
      </c>
      <c r="I1008" s="26">
        <v>0.82430555555555562</v>
      </c>
      <c r="J1008" s="26">
        <v>0.85</v>
      </c>
      <c r="K1008" s="27">
        <f>Table3[[#This Row],[Delivery Time]]-Table3[[#This Row],[Order Time]]</f>
        <v>2.5694444444444353E-2</v>
      </c>
      <c r="L1008" s="43">
        <v>37</v>
      </c>
      <c r="M1008" s="25" t="s">
        <v>0</v>
      </c>
      <c r="N1008" s="28" t="s">
        <v>22</v>
      </c>
      <c r="O1008" s="28" t="s">
        <v>39</v>
      </c>
      <c r="P1008" s="25" t="s">
        <v>20</v>
      </c>
    </row>
    <row r="1009" spans="1:16" x14ac:dyDescent="0.25">
      <c r="A1009" s="23">
        <f t="shared" si="64"/>
        <v>1008</v>
      </c>
      <c r="B1009" s="24">
        <v>43276</v>
      </c>
      <c r="C1009" s="18" t="str">
        <f t="shared" si="61"/>
        <v>Monday</v>
      </c>
      <c r="D1009" s="10" t="str">
        <f t="shared" si="62"/>
        <v>Same</v>
      </c>
      <c r="E1009" s="2">
        <v>70.69</v>
      </c>
      <c r="F1009" s="2">
        <v>19.309999999999999</v>
      </c>
      <c r="G1009" s="1">
        <f t="shared" si="63"/>
        <v>0.27316452114867734</v>
      </c>
      <c r="H1009" s="2">
        <v>1.5</v>
      </c>
      <c r="I1009" s="26">
        <v>0.82500000000000007</v>
      </c>
      <c r="J1009" s="26">
        <v>0.85555555555555562</v>
      </c>
      <c r="K1009" s="27">
        <f>Table3[[#This Row],[Delivery Time]]-Table3[[#This Row],[Order Time]]</f>
        <v>3.0555555555555558E-2</v>
      </c>
      <c r="L1009" s="43">
        <v>44</v>
      </c>
      <c r="M1009" s="25" t="s">
        <v>0</v>
      </c>
      <c r="N1009" s="28" t="s">
        <v>22</v>
      </c>
      <c r="O1009" s="28" t="s">
        <v>39</v>
      </c>
      <c r="P1009" s="25" t="s">
        <v>20</v>
      </c>
    </row>
    <row r="1010" spans="1:16" x14ac:dyDescent="0.25">
      <c r="A1010" s="23">
        <f t="shared" si="64"/>
        <v>1009</v>
      </c>
      <c r="B1010" s="24">
        <v>43276</v>
      </c>
      <c r="C1010" s="18" t="str">
        <f t="shared" si="61"/>
        <v>Monday</v>
      </c>
      <c r="D1010" s="10" t="str">
        <f t="shared" si="62"/>
        <v>Same</v>
      </c>
      <c r="E1010" s="2">
        <v>33.83</v>
      </c>
      <c r="F1010" s="2">
        <v>26.17</v>
      </c>
      <c r="G1010" s="1">
        <f t="shared" si="63"/>
        <v>0.7735737511084837</v>
      </c>
      <c r="H1010" s="2">
        <v>1.5</v>
      </c>
      <c r="I1010" s="26">
        <v>0.84305555555555556</v>
      </c>
      <c r="J1010" s="26">
        <v>0.87361111111111101</v>
      </c>
      <c r="K1010" s="27">
        <f>Table3[[#This Row],[Delivery Time]]-Table3[[#This Row],[Order Time]]</f>
        <v>3.0555555555555447E-2</v>
      </c>
      <c r="L1010" s="43">
        <v>44</v>
      </c>
      <c r="M1010" s="25" t="s">
        <v>0</v>
      </c>
      <c r="N1010" s="28"/>
      <c r="O1010" s="28" t="s">
        <v>39</v>
      </c>
      <c r="P1010" s="25" t="s">
        <v>20</v>
      </c>
    </row>
    <row r="1011" spans="1:16" x14ac:dyDescent="0.25">
      <c r="A1011" s="23">
        <f t="shared" si="64"/>
        <v>1010</v>
      </c>
      <c r="B1011" s="24">
        <v>43276</v>
      </c>
      <c r="C1011" s="18" t="str">
        <f t="shared" si="61"/>
        <v>Monday</v>
      </c>
      <c r="D1011" s="10" t="str">
        <f t="shared" si="62"/>
        <v>Same</v>
      </c>
      <c r="E1011" s="2">
        <v>20.239999999999998</v>
      </c>
      <c r="F1011" s="2">
        <v>4.76</v>
      </c>
      <c r="G1011" s="1">
        <f t="shared" si="63"/>
        <v>0.23517786561264822</v>
      </c>
      <c r="H1011" s="2">
        <v>1.5</v>
      </c>
      <c r="I1011" s="26">
        <v>0.8534722222222223</v>
      </c>
      <c r="J1011" s="26">
        <v>0.88194444444444453</v>
      </c>
      <c r="K1011" s="27">
        <f>Table3[[#This Row],[Delivery Time]]-Table3[[#This Row],[Order Time]]</f>
        <v>2.8472222222222232E-2</v>
      </c>
      <c r="L1011" s="43">
        <v>41</v>
      </c>
      <c r="M1011" s="25" t="s">
        <v>0</v>
      </c>
      <c r="N1011" s="28"/>
      <c r="O1011" s="28" t="s">
        <v>39</v>
      </c>
      <c r="P1011" s="25" t="s">
        <v>20</v>
      </c>
    </row>
    <row r="1012" spans="1:16" x14ac:dyDescent="0.25">
      <c r="A1012" s="23">
        <f t="shared" si="64"/>
        <v>1011</v>
      </c>
      <c r="B1012" s="24">
        <v>43276</v>
      </c>
      <c r="C1012" s="18" t="str">
        <f t="shared" si="61"/>
        <v>Monday</v>
      </c>
      <c r="D1012" s="10" t="str">
        <f t="shared" si="62"/>
        <v>Same</v>
      </c>
      <c r="E1012" s="2">
        <v>16.18</v>
      </c>
      <c r="F1012" s="2">
        <v>4</v>
      </c>
      <c r="G1012" s="1">
        <f t="shared" si="63"/>
        <v>0.24721878862793573</v>
      </c>
      <c r="H1012" s="2">
        <v>1.5</v>
      </c>
      <c r="I1012" s="26">
        <v>0.88541666666666663</v>
      </c>
      <c r="J1012" s="26">
        <v>0.90902777777777777</v>
      </c>
      <c r="K1012" s="27">
        <f>Table3[[#This Row],[Delivery Time]]-Table3[[#This Row],[Order Time]]</f>
        <v>2.3611111111111138E-2</v>
      </c>
      <c r="L1012" s="43">
        <v>34</v>
      </c>
      <c r="M1012" s="25" t="s">
        <v>0</v>
      </c>
      <c r="N1012" s="28"/>
      <c r="O1012" s="28" t="s">
        <v>39</v>
      </c>
      <c r="P1012" s="25" t="s">
        <v>20</v>
      </c>
    </row>
    <row r="1013" spans="1:16" x14ac:dyDescent="0.25">
      <c r="A1013" s="23">
        <f t="shared" si="64"/>
        <v>1012</v>
      </c>
      <c r="B1013" s="24">
        <v>43276</v>
      </c>
      <c r="C1013" s="18" t="str">
        <f t="shared" si="61"/>
        <v>Monday</v>
      </c>
      <c r="D1013" s="10" t="str">
        <f t="shared" si="62"/>
        <v>Same</v>
      </c>
      <c r="E1013" s="2">
        <v>28.09</v>
      </c>
      <c r="F1013" s="2">
        <v>6</v>
      </c>
      <c r="G1013" s="1">
        <f t="shared" si="63"/>
        <v>0.21359914560341758</v>
      </c>
      <c r="H1013" s="2">
        <v>5</v>
      </c>
      <c r="I1013" s="26">
        <v>0.89166666666666661</v>
      </c>
      <c r="J1013" s="26">
        <v>0.92222222222222217</v>
      </c>
      <c r="K1013" s="27">
        <f>Table3[[#This Row],[Delivery Time]]-Table3[[#This Row],[Order Time]]</f>
        <v>3.0555555555555558E-2</v>
      </c>
      <c r="L1013" s="43">
        <v>44</v>
      </c>
      <c r="M1013" s="25" t="s">
        <v>11</v>
      </c>
      <c r="N1013" s="28"/>
      <c r="O1013" s="28" t="s">
        <v>39</v>
      </c>
      <c r="P1013" s="25" t="s">
        <v>20</v>
      </c>
    </row>
    <row r="1014" spans="1:16" x14ac:dyDescent="0.25">
      <c r="A1014" s="23">
        <f t="shared" si="64"/>
        <v>1013</v>
      </c>
      <c r="B1014" s="24">
        <v>43280</v>
      </c>
      <c r="C1014" s="18" t="str">
        <f t="shared" si="61"/>
        <v>Friday</v>
      </c>
      <c r="D1014" s="10" t="str">
        <f t="shared" si="62"/>
        <v>Different</v>
      </c>
      <c r="E1014" s="2">
        <v>51.09</v>
      </c>
      <c r="F1014" s="2">
        <v>8</v>
      </c>
      <c r="G1014" s="1">
        <f t="shared" si="63"/>
        <v>0.15658641612840085</v>
      </c>
      <c r="H1014" s="2">
        <v>1.5</v>
      </c>
      <c r="I1014" s="26">
        <v>0.73888888888888893</v>
      </c>
      <c r="J1014" s="26">
        <v>0.77013888888888893</v>
      </c>
      <c r="K1014" s="27">
        <f>Table3[[#This Row],[Delivery Time]]-Table3[[#This Row],[Order Time]]</f>
        <v>3.125E-2</v>
      </c>
      <c r="L1014" s="43">
        <v>45</v>
      </c>
      <c r="M1014" s="25" t="s">
        <v>0</v>
      </c>
      <c r="N1014" s="28"/>
      <c r="O1014" s="28" t="s">
        <v>41</v>
      </c>
      <c r="P1014" s="25" t="s">
        <v>20</v>
      </c>
    </row>
    <row r="1015" spans="1:16" x14ac:dyDescent="0.25">
      <c r="A1015" s="23">
        <f t="shared" si="64"/>
        <v>1014</v>
      </c>
      <c r="B1015" s="24">
        <v>43280</v>
      </c>
      <c r="C1015" s="18" t="str">
        <f t="shared" si="61"/>
        <v>Friday</v>
      </c>
      <c r="D1015" s="10" t="str">
        <f t="shared" si="62"/>
        <v>Same</v>
      </c>
      <c r="E1015" s="2">
        <v>36.479999999999997</v>
      </c>
      <c r="F1015" s="2">
        <v>8</v>
      </c>
      <c r="G1015" s="1">
        <f t="shared" si="63"/>
        <v>0.2192982456140351</v>
      </c>
      <c r="H1015" s="2">
        <v>5</v>
      </c>
      <c r="I1015" s="26">
        <v>0.73888888888888893</v>
      </c>
      <c r="J1015" s="26">
        <v>0.78125</v>
      </c>
      <c r="K1015" s="27">
        <f>Table3[[#This Row],[Delivery Time]]-Table3[[#This Row],[Order Time]]</f>
        <v>4.2361111111111072E-2</v>
      </c>
      <c r="L1015" s="43">
        <v>61</v>
      </c>
      <c r="M1015" s="25" t="s">
        <v>0</v>
      </c>
      <c r="N1015" s="28" t="s">
        <v>23</v>
      </c>
      <c r="O1015" s="28" t="s">
        <v>39</v>
      </c>
      <c r="P1015" s="25" t="s">
        <v>20</v>
      </c>
    </row>
    <row r="1016" spans="1:16" x14ac:dyDescent="0.25">
      <c r="A1016" s="23">
        <f t="shared" si="64"/>
        <v>1015</v>
      </c>
      <c r="B1016" s="24">
        <v>43280</v>
      </c>
      <c r="C1016" s="18" t="str">
        <f t="shared" si="61"/>
        <v>Friday</v>
      </c>
      <c r="D1016" s="10" t="str">
        <f t="shared" si="62"/>
        <v>Same</v>
      </c>
      <c r="E1016" s="2">
        <v>29.66</v>
      </c>
      <c r="F1016" s="2">
        <v>5</v>
      </c>
      <c r="G1016" s="1">
        <f t="shared" si="63"/>
        <v>0.16857720836142953</v>
      </c>
      <c r="H1016" s="2">
        <v>5</v>
      </c>
      <c r="I1016" s="26">
        <v>0.74236111111111114</v>
      </c>
      <c r="J1016" s="26">
        <v>0.78819444444444453</v>
      </c>
      <c r="K1016" s="27">
        <f>Table3[[#This Row],[Delivery Time]]-Table3[[#This Row],[Order Time]]</f>
        <v>4.5833333333333393E-2</v>
      </c>
      <c r="L1016" s="43">
        <v>66</v>
      </c>
      <c r="M1016" s="25" t="s">
        <v>0</v>
      </c>
      <c r="N1016" s="28"/>
      <c r="O1016" s="28" t="s">
        <v>39</v>
      </c>
      <c r="P1016" s="25" t="s">
        <v>20</v>
      </c>
    </row>
    <row r="1017" spans="1:16" x14ac:dyDescent="0.25">
      <c r="A1017" s="23">
        <f t="shared" si="64"/>
        <v>1016</v>
      </c>
      <c r="B1017" s="24">
        <v>43280</v>
      </c>
      <c r="C1017" s="18" t="str">
        <f t="shared" si="61"/>
        <v>Friday</v>
      </c>
      <c r="D1017" s="10" t="str">
        <f t="shared" si="62"/>
        <v>Same</v>
      </c>
      <c r="E1017" s="2">
        <v>46.71</v>
      </c>
      <c r="F1017" s="2">
        <v>5</v>
      </c>
      <c r="G1017" s="1">
        <f t="shared" si="63"/>
        <v>0.10704345964461572</v>
      </c>
      <c r="H1017" s="2">
        <v>5</v>
      </c>
      <c r="I1017" s="26">
        <v>0.78472222222222221</v>
      </c>
      <c r="J1017" s="26">
        <v>0.78472222222222221</v>
      </c>
      <c r="K1017" s="27">
        <f>Table3[[#This Row],[Delivery Time]]-Table3[[#This Row],[Order Time]]</f>
        <v>0</v>
      </c>
      <c r="L1017" s="43">
        <v>0</v>
      </c>
      <c r="M1017" s="25" t="s">
        <v>12</v>
      </c>
      <c r="N1017" s="28"/>
      <c r="O1017" s="28" t="s">
        <v>39</v>
      </c>
      <c r="P1017" s="25" t="s">
        <v>20</v>
      </c>
    </row>
    <row r="1018" spans="1:16" x14ac:dyDescent="0.25">
      <c r="A1018" s="23">
        <f t="shared" si="64"/>
        <v>1017</v>
      </c>
      <c r="B1018" s="24">
        <v>43280</v>
      </c>
      <c r="C1018" s="18" t="str">
        <f t="shared" si="61"/>
        <v>Friday</v>
      </c>
      <c r="D1018" s="10" t="str">
        <f t="shared" si="62"/>
        <v>Same</v>
      </c>
      <c r="E1018" s="2">
        <v>55.21</v>
      </c>
      <c r="F1018" s="2">
        <v>19</v>
      </c>
      <c r="G1018" s="1">
        <f t="shared" si="63"/>
        <v>0.34414055424741896</v>
      </c>
      <c r="H1018" s="2">
        <v>1.5</v>
      </c>
      <c r="I1018" s="26">
        <v>0.7909722222222223</v>
      </c>
      <c r="J1018" s="26">
        <v>0.82638888888888884</v>
      </c>
      <c r="K1018" s="27">
        <f>Table3[[#This Row],[Delivery Time]]-Table3[[#This Row],[Order Time]]</f>
        <v>3.5416666666666541E-2</v>
      </c>
      <c r="L1018" s="43">
        <v>51</v>
      </c>
      <c r="M1018" s="25" t="s">
        <v>0</v>
      </c>
      <c r="N1018" s="28"/>
      <c r="O1018" s="28" t="s">
        <v>41</v>
      </c>
      <c r="P1018" s="25" t="s">
        <v>20</v>
      </c>
    </row>
    <row r="1019" spans="1:16" x14ac:dyDescent="0.25">
      <c r="A1019" s="23">
        <f t="shared" si="64"/>
        <v>1018</v>
      </c>
      <c r="B1019" s="24">
        <v>43280</v>
      </c>
      <c r="C1019" s="18" t="str">
        <f t="shared" si="61"/>
        <v>Friday</v>
      </c>
      <c r="D1019" s="10" t="str">
        <f t="shared" si="62"/>
        <v>Same</v>
      </c>
      <c r="E1019" s="2">
        <v>66.739999999999995</v>
      </c>
      <c r="F1019" s="2">
        <v>12</v>
      </c>
      <c r="G1019" s="1">
        <f t="shared" si="63"/>
        <v>0.17980221756068326</v>
      </c>
      <c r="H1019" s="2">
        <v>1.5</v>
      </c>
      <c r="I1019" s="26">
        <v>0.80069444444444438</v>
      </c>
      <c r="J1019" s="26">
        <v>0.83819444444444446</v>
      </c>
      <c r="K1019" s="27">
        <f>Table3[[#This Row],[Delivery Time]]-Table3[[#This Row],[Order Time]]</f>
        <v>3.7500000000000089E-2</v>
      </c>
      <c r="L1019" s="43">
        <v>53.999999999999993</v>
      </c>
      <c r="M1019" s="25" t="s">
        <v>0</v>
      </c>
      <c r="N1019" s="28"/>
      <c r="O1019" s="28" t="s">
        <v>39</v>
      </c>
      <c r="P1019" s="25" t="s">
        <v>20</v>
      </c>
    </row>
    <row r="1020" spans="1:16" x14ac:dyDescent="0.25">
      <c r="A1020" s="23">
        <f t="shared" si="64"/>
        <v>1019</v>
      </c>
      <c r="B1020" s="24">
        <v>43281</v>
      </c>
      <c r="C1020" s="18" t="str">
        <f t="shared" si="61"/>
        <v>Saturday</v>
      </c>
      <c r="D1020" s="10" t="str">
        <f t="shared" si="62"/>
        <v>Different</v>
      </c>
      <c r="E1020" s="2">
        <v>34.32</v>
      </c>
      <c r="F1020" s="2">
        <v>8</v>
      </c>
      <c r="G1020" s="1">
        <f t="shared" si="63"/>
        <v>0.23310023310023309</v>
      </c>
      <c r="H1020" s="2">
        <v>1.5</v>
      </c>
      <c r="I1020" s="26">
        <v>0.71597222222222223</v>
      </c>
      <c r="J1020" s="26">
        <v>0.73958333333333337</v>
      </c>
      <c r="K1020" s="27">
        <f>Table3[[#This Row],[Delivery Time]]-Table3[[#This Row],[Order Time]]</f>
        <v>2.3611111111111138E-2</v>
      </c>
      <c r="L1020" s="43">
        <v>34</v>
      </c>
      <c r="M1020" s="25" t="s">
        <v>11</v>
      </c>
      <c r="N1020" s="28"/>
      <c r="O1020" s="28" t="s">
        <v>39</v>
      </c>
      <c r="P1020" s="25" t="s">
        <v>20</v>
      </c>
    </row>
    <row r="1021" spans="1:16" x14ac:dyDescent="0.25">
      <c r="A1021" s="23">
        <f t="shared" si="64"/>
        <v>1020</v>
      </c>
      <c r="B1021" s="24">
        <v>43281</v>
      </c>
      <c r="C1021" s="18" t="str">
        <f t="shared" si="61"/>
        <v>Saturday</v>
      </c>
      <c r="D1021" s="10" t="str">
        <f t="shared" si="62"/>
        <v>Same</v>
      </c>
      <c r="E1021" s="2">
        <v>52.12</v>
      </c>
      <c r="F1021" s="2">
        <v>3</v>
      </c>
      <c r="G1021" s="1">
        <f t="shared" si="63"/>
        <v>5.7559478127398311E-2</v>
      </c>
      <c r="H1021" s="2">
        <v>1.5</v>
      </c>
      <c r="I1021" s="26">
        <v>0.78333333333333333</v>
      </c>
      <c r="J1021" s="26">
        <v>0.80625000000000002</v>
      </c>
      <c r="K1021" s="27">
        <f>Table3[[#This Row],[Delivery Time]]-Table3[[#This Row],[Order Time]]</f>
        <v>2.2916666666666696E-2</v>
      </c>
      <c r="L1021" s="43">
        <v>33</v>
      </c>
      <c r="M1021" s="25" t="s">
        <v>11</v>
      </c>
      <c r="N1021" s="28"/>
      <c r="O1021" s="28" t="s">
        <v>39</v>
      </c>
      <c r="P1021" s="25" t="s">
        <v>20</v>
      </c>
    </row>
    <row r="1022" spans="1:16" x14ac:dyDescent="0.25">
      <c r="A1022" s="23">
        <f t="shared" si="64"/>
        <v>1021</v>
      </c>
      <c r="B1022" s="24">
        <v>43281</v>
      </c>
      <c r="C1022" s="18" t="str">
        <f t="shared" si="61"/>
        <v>Saturday</v>
      </c>
      <c r="D1022" s="10" t="str">
        <f t="shared" si="62"/>
        <v>Same</v>
      </c>
      <c r="E1022" s="2">
        <v>18.399999999999999</v>
      </c>
      <c r="F1022" s="2">
        <v>5</v>
      </c>
      <c r="G1022" s="1">
        <f t="shared" si="63"/>
        <v>0.27173913043478265</v>
      </c>
      <c r="H1022" s="2">
        <v>1.5</v>
      </c>
      <c r="I1022" s="26">
        <v>0.78611111111111109</v>
      </c>
      <c r="J1022" s="26">
        <v>0.82361111111111107</v>
      </c>
      <c r="K1022" s="27">
        <f>Table3[[#This Row],[Delivery Time]]-Table3[[#This Row],[Order Time]]</f>
        <v>3.7499999999999978E-2</v>
      </c>
      <c r="L1022" s="43">
        <v>53.999999999999993</v>
      </c>
      <c r="M1022" s="25" t="s">
        <v>11</v>
      </c>
      <c r="N1022" s="28"/>
      <c r="O1022" s="28" t="s">
        <v>41</v>
      </c>
      <c r="P1022" s="25" t="s">
        <v>20</v>
      </c>
    </row>
    <row r="1023" spans="1:16" x14ac:dyDescent="0.25">
      <c r="A1023" s="23">
        <f t="shared" si="64"/>
        <v>1022</v>
      </c>
      <c r="B1023" s="24">
        <v>43282</v>
      </c>
      <c r="C1023" s="18" t="str">
        <f t="shared" si="61"/>
        <v>Sunday</v>
      </c>
      <c r="D1023" s="10" t="str">
        <f t="shared" si="62"/>
        <v>Different</v>
      </c>
      <c r="E1023" s="2">
        <v>116.21</v>
      </c>
      <c r="F1023" s="2">
        <v>18</v>
      </c>
      <c r="G1023" s="1">
        <f t="shared" si="63"/>
        <v>0.15489200585147578</v>
      </c>
      <c r="H1023" s="2">
        <v>1.5</v>
      </c>
      <c r="I1023" s="26">
        <v>0.75</v>
      </c>
      <c r="J1023" s="26">
        <v>0.77430555555555547</v>
      </c>
      <c r="K1023" s="27">
        <f>Table3[[#This Row],[Delivery Time]]-Table3[[#This Row],[Order Time]]</f>
        <v>2.4305555555555469E-2</v>
      </c>
      <c r="L1023" s="43">
        <v>35</v>
      </c>
      <c r="M1023" s="25" t="s">
        <v>0</v>
      </c>
      <c r="N1023" s="28"/>
      <c r="O1023" s="28" t="s">
        <v>39</v>
      </c>
      <c r="P1023" s="25" t="s">
        <v>20</v>
      </c>
    </row>
    <row r="1024" spans="1:16" x14ac:dyDescent="0.25">
      <c r="A1024" s="23">
        <f t="shared" si="64"/>
        <v>1023</v>
      </c>
      <c r="B1024" s="24">
        <v>43282</v>
      </c>
      <c r="C1024" s="18" t="str">
        <f t="shared" si="61"/>
        <v>Sunday</v>
      </c>
      <c r="D1024" s="10" t="str">
        <f t="shared" si="62"/>
        <v>Same</v>
      </c>
      <c r="E1024" s="2">
        <v>65.87</v>
      </c>
      <c r="F1024" s="2">
        <v>15</v>
      </c>
      <c r="G1024" s="1">
        <f t="shared" si="63"/>
        <v>0.22772126916654015</v>
      </c>
      <c r="H1024" s="2">
        <v>1.5</v>
      </c>
      <c r="I1024" s="26">
        <v>0.79513888888888884</v>
      </c>
      <c r="J1024" s="26">
        <v>0.81388888888888899</v>
      </c>
      <c r="K1024" s="27">
        <f>Table3[[#This Row],[Delivery Time]]-Table3[[#This Row],[Order Time]]</f>
        <v>1.8750000000000155E-2</v>
      </c>
      <c r="L1024" s="43">
        <v>26.999999999999996</v>
      </c>
      <c r="M1024" s="25" t="s">
        <v>0</v>
      </c>
      <c r="N1024" s="28"/>
      <c r="O1024" s="28" t="s">
        <v>39</v>
      </c>
      <c r="P1024" s="25" t="s">
        <v>20</v>
      </c>
    </row>
    <row r="1025" spans="1:16" x14ac:dyDescent="0.25">
      <c r="A1025" s="23">
        <f t="shared" si="64"/>
        <v>1024</v>
      </c>
      <c r="B1025" s="24">
        <v>43282</v>
      </c>
      <c r="C1025" s="18" t="str">
        <f t="shared" si="61"/>
        <v>Sunday</v>
      </c>
      <c r="D1025" s="10" t="str">
        <f t="shared" si="62"/>
        <v>Same</v>
      </c>
      <c r="E1025" s="2">
        <v>21.65</v>
      </c>
      <c r="F1025" s="2">
        <v>4</v>
      </c>
      <c r="G1025" s="1">
        <f t="shared" si="63"/>
        <v>0.18475750577367206</v>
      </c>
      <c r="H1025" s="2">
        <v>1.5</v>
      </c>
      <c r="I1025" s="26">
        <v>0.82361111111111107</v>
      </c>
      <c r="J1025" s="26">
        <v>0.84861111111111109</v>
      </c>
      <c r="K1025" s="27">
        <f>Table3[[#This Row],[Delivery Time]]-Table3[[#This Row],[Order Time]]</f>
        <v>2.5000000000000022E-2</v>
      </c>
      <c r="L1025" s="43">
        <v>36</v>
      </c>
      <c r="M1025" s="25" t="s">
        <v>0</v>
      </c>
      <c r="N1025" s="28"/>
      <c r="O1025" s="28" t="s">
        <v>39</v>
      </c>
      <c r="P1025" s="25" t="s">
        <v>20</v>
      </c>
    </row>
    <row r="1026" spans="1:16" x14ac:dyDescent="0.25">
      <c r="A1026" s="23">
        <f t="shared" si="64"/>
        <v>1025</v>
      </c>
      <c r="B1026" s="24">
        <v>43282</v>
      </c>
      <c r="C1026" s="18" t="str">
        <f t="shared" si="61"/>
        <v>Sunday</v>
      </c>
      <c r="D1026" s="10" t="str">
        <f t="shared" si="62"/>
        <v>Same</v>
      </c>
      <c r="E1026" s="2">
        <v>39.51</v>
      </c>
      <c r="F1026" s="2">
        <v>6</v>
      </c>
      <c r="G1026" s="1">
        <f t="shared" si="63"/>
        <v>0.15186028853454822</v>
      </c>
      <c r="H1026" s="2">
        <v>1.5</v>
      </c>
      <c r="I1026" s="26">
        <v>0.8569444444444444</v>
      </c>
      <c r="J1026" s="26">
        <v>0.87986111111111109</v>
      </c>
      <c r="K1026" s="27">
        <f>Table3[[#This Row],[Delivery Time]]-Table3[[#This Row],[Order Time]]</f>
        <v>2.2916666666666696E-2</v>
      </c>
      <c r="L1026" s="43">
        <v>33</v>
      </c>
      <c r="M1026" s="25" t="s">
        <v>0</v>
      </c>
      <c r="N1026" s="28"/>
      <c r="O1026" s="28" t="s">
        <v>41</v>
      </c>
      <c r="P1026" s="25" t="s">
        <v>20</v>
      </c>
    </row>
    <row r="1027" spans="1:16" x14ac:dyDescent="0.25">
      <c r="A1027" s="23">
        <f t="shared" si="64"/>
        <v>1026</v>
      </c>
      <c r="B1027" s="24">
        <v>43287</v>
      </c>
      <c r="C1027" s="18" t="str">
        <f t="shared" si="61"/>
        <v>Friday</v>
      </c>
      <c r="D1027" s="10" t="str">
        <f t="shared" si="62"/>
        <v>Different</v>
      </c>
      <c r="E1027" s="2">
        <v>42.06</v>
      </c>
      <c r="F1027" s="2">
        <v>5</v>
      </c>
      <c r="G1027" s="1">
        <f t="shared" si="63"/>
        <v>0.11887779362815025</v>
      </c>
      <c r="H1027" s="2">
        <v>1.5</v>
      </c>
      <c r="I1027" s="26">
        <v>0.70486111111111116</v>
      </c>
      <c r="J1027" s="26">
        <v>0.7270833333333333</v>
      </c>
      <c r="K1027" s="27">
        <f>Table3[[#This Row],[Delivery Time]]-Table3[[#This Row],[Order Time]]</f>
        <v>2.2222222222222143E-2</v>
      </c>
      <c r="L1027" s="43">
        <v>32</v>
      </c>
      <c r="M1027" s="25" t="s">
        <v>0</v>
      </c>
      <c r="N1027" s="28"/>
      <c r="O1027" s="28" t="s">
        <v>39</v>
      </c>
      <c r="P1027" s="25" t="s">
        <v>20</v>
      </c>
    </row>
    <row r="1028" spans="1:16" x14ac:dyDescent="0.25">
      <c r="A1028" s="23">
        <f t="shared" si="64"/>
        <v>1027</v>
      </c>
      <c r="B1028" s="24">
        <v>43287</v>
      </c>
      <c r="C1028" s="18" t="str">
        <f t="shared" si="61"/>
        <v>Friday</v>
      </c>
      <c r="D1028" s="10" t="str">
        <f t="shared" si="62"/>
        <v>Same</v>
      </c>
      <c r="E1028" s="2">
        <v>55.15</v>
      </c>
      <c r="F1028" s="2">
        <v>5</v>
      </c>
      <c r="G1028" s="1">
        <f t="shared" si="63"/>
        <v>9.0661831368993653E-2</v>
      </c>
      <c r="H1028" s="2">
        <v>1.5</v>
      </c>
      <c r="I1028" s="26">
        <v>0.7055555555555556</v>
      </c>
      <c r="J1028" s="26">
        <v>0.73402777777777783</v>
      </c>
      <c r="K1028" s="27">
        <f>Table3[[#This Row],[Delivery Time]]-Table3[[#This Row],[Order Time]]</f>
        <v>2.8472222222222232E-2</v>
      </c>
      <c r="L1028" s="43">
        <v>41</v>
      </c>
      <c r="M1028" s="25" t="s">
        <v>0</v>
      </c>
      <c r="N1028" s="28"/>
      <c r="O1028" s="28" t="s">
        <v>39</v>
      </c>
      <c r="P1028" s="25" t="s">
        <v>20</v>
      </c>
    </row>
    <row r="1029" spans="1:16" x14ac:dyDescent="0.25">
      <c r="A1029" s="23">
        <f t="shared" si="64"/>
        <v>1028</v>
      </c>
      <c r="B1029" s="24">
        <v>43287</v>
      </c>
      <c r="C1029" s="18" t="str">
        <f t="shared" si="61"/>
        <v>Friday</v>
      </c>
      <c r="D1029" s="10" t="str">
        <f t="shared" si="62"/>
        <v>Same</v>
      </c>
      <c r="E1029" s="2">
        <v>71.72</v>
      </c>
      <c r="F1029" s="2">
        <v>9</v>
      </c>
      <c r="G1029" s="1">
        <f t="shared" si="63"/>
        <v>0.12548800892359174</v>
      </c>
      <c r="H1029" s="2">
        <v>1.5</v>
      </c>
      <c r="I1029" s="26">
        <v>0.73611111111111116</v>
      </c>
      <c r="J1029" s="26">
        <v>0.77430555555555547</v>
      </c>
      <c r="K1029" s="27">
        <f>Table3[[#This Row],[Delivery Time]]-Table3[[#This Row],[Order Time]]</f>
        <v>3.8194444444444309E-2</v>
      </c>
      <c r="L1029" s="43">
        <v>54.999999999999993</v>
      </c>
      <c r="M1029" s="25" t="s">
        <v>0</v>
      </c>
      <c r="N1029" s="28"/>
      <c r="O1029" s="28" t="s">
        <v>39</v>
      </c>
      <c r="P1029" s="25" t="s">
        <v>20</v>
      </c>
    </row>
    <row r="1030" spans="1:16" x14ac:dyDescent="0.25">
      <c r="A1030" s="23">
        <f t="shared" si="64"/>
        <v>1029</v>
      </c>
      <c r="B1030" s="24">
        <v>43287</v>
      </c>
      <c r="C1030" s="18" t="str">
        <f t="shared" ref="C1030:C1093" si="65">TEXT(B1030,"dddd")</f>
        <v>Friday</v>
      </c>
      <c r="D1030" s="10" t="str">
        <f t="shared" ref="D1030:D1093" si="66">IF(B1029=B1030, "Same", "Different")</f>
        <v>Same</v>
      </c>
      <c r="E1030" s="2">
        <v>32.479999999999997</v>
      </c>
      <c r="F1030" s="2">
        <v>8</v>
      </c>
      <c r="G1030" s="1">
        <f t="shared" ref="G1030:G1093" si="67">F1030/E1030</f>
        <v>0.24630541871921185</v>
      </c>
      <c r="H1030" s="2">
        <v>1.5</v>
      </c>
      <c r="I1030" s="26">
        <v>0.73611111111111116</v>
      </c>
      <c r="J1030" s="26">
        <v>0.76527777777777783</v>
      </c>
      <c r="K1030" s="27">
        <f>Table3[[#This Row],[Delivery Time]]-Table3[[#This Row],[Order Time]]</f>
        <v>2.9166666666666674E-2</v>
      </c>
      <c r="L1030" s="43">
        <v>42</v>
      </c>
      <c r="M1030" s="25" t="s">
        <v>0</v>
      </c>
      <c r="N1030" s="28"/>
      <c r="O1030" s="28" t="s">
        <v>40</v>
      </c>
      <c r="P1030" s="25" t="s">
        <v>20</v>
      </c>
    </row>
    <row r="1031" spans="1:16" x14ac:dyDescent="0.25">
      <c r="A1031" s="23">
        <f t="shared" si="64"/>
        <v>1030</v>
      </c>
      <c r="B1031" s="24">
        <v>43287</v>
      </c>
      <c r="C1031" s="18" t="str">
        <f t="shared" si="65"/>
        <v>Friday</v>
      </c>
      <c r="D1031" s="10" t="str">
        <f t="shared" si="66"/>
        <v>Same</v>
      </c>
      <c r="E1031" s="2">
        <v>27.82</v>
      </c>
      <c r="F1031" s="2">
        <v>4.17</v>
      </c>
      <c r="G1031" s="1">
        <f t="shared" si="67"/>
        <v>0.1498921639108555</v>
      </c>
      <c r="H1031" s="2">
        <v>1.5</v>
      </c>
      <c r="I1031" s="26">
        <v>0.73888888888888893</v>
      </c>
      <c r="J1031" s="26">
        <v>0.77986111111111101</v>
      </c>
      <c r="K1031" s="27">
        <f>Table3[[#This Row],[Delivery Time]]-Table3[[#This Row],[Order Time]]</f>
        <v>4.0972222222222077E-2</v>
      </c>
      <c r="L1031" s="43">
        <v>59</v>
      </c>
      <c r="M1031" s="25" t="s">
        <v>0</v>
      </c>
      <c r="N1031" s="28"/>
      <c r="O1031" s="28" t="s">
        <v>39</v>
      </c>
      <c r="P1031" s="25" t="s">
        <v>20</v>
      </c>
    </row>
    <row r="1032" spans="1:16" x14ac:dyDescent="0.25">
      <c r="A1032" s="23">
        <f t="shared" si="64"/>
        <v>1031</v>
      </c>
      <c r="B1032" s="24">
        <v>43287</v>
      </c>
      <c r="C1032" s="18" t="str">
        <f t="shared" si="65"/>
        <v>Friday</v>
      </c>
      <c r="D1032" s="10" t="str">
        <f t="shared" si="66"/>
        <v>Same</v>
      </c>
      <c r="E1032" s="2">
        <v>57.59</v>
      </c>
      <c r="F1032" s="2">
        <v>5</v>
      </c>
      <c r="G1032" s="1">
        <f t="shared" si="67"/>
        <v>8.6820628581350923E-2</v>
      </c>
      <c r="H1032" s="2">
        <v>5</v>
      </c>
      <c r="I1032" s="26">
        <v>0.74930555555555556</v>
      </c>
      <c r="J1032" s="26">
        <v>0.78888888888888886</v>
      </c>
      <c r="K1032" s="27">
        <f>Table3[[#This Row],[Delivery Time]]-Table3[[#This Row],[Order Time]]</f>
        <v>3.9583333333333304E-2</v>
      </c>
      <c r="L1032" s="43">
        <v>57</v>
      </c>
      <c r="M1032" s="25" t="s">
        <v>0</v>
      </c>
      <c r="N1032" s="28"/>
      <c r="O1032" s="28" t="s">
        <v>39</v>
      </c>
      <c r="P1032" s="25" t="s">
        <v>20</v>
      </c>
    </row>
    <row r="1033" spans="1:16" x14ac:dyDescent="0.25">
      <c r="A1033" s="23">
        <f t="shared" si="64"/>
        <v>1032</v>
      </c>
      <c r="B1033" s="24">
        <v>43287</v>
      </c>
      <c r="C1033" s="18" t="str">
        <f t="shared" si="65"/>
        <v>Friday</v>
      </c>
      <c r="D1033" s="10" t="str">
        <f t="shared" si="66"/>
        <v>Same</v>
      </c>
      <c r="E1033" s="2">
        <v>67.17</v>
      </c>
      <c r="F1033" s="2">
        <v>10</v>
      </c>
      <c r="G1033" s="1">
        <f t="shared" si="67"/>
        <v>0.14887598630340926</v>
      </c>
      <c r="H1033" s="2">
        <v>1.5</v>
      </c>
      <c r="I1033" s="26">
        <v>0.79513888888888884</v>
      </c>
      <c r="J1033" s="26">
        <v>0.82638888888888884</v>
      </c>
      <c r="K1033" s="27">
        <f>Table3[[#This Row],[Delivery Time]]-Table3[[#This Row],[Order Time]]</f>
        <v>3.125E-2</v>
      </c>
      <c r="L1033" s="43">
        <v>45</v>
      </c>
      <c r="M1033" s="25" t="s">
        <v>11</v>
      </c>
      <c r="N1033" s="28"/>
      <c r="O1033" s="28" t="s">
        <v>39</v>
      </c>
      <c r="P1033" s="25" t="s">
        <v>20</v>
      </c>
    </row>
    <row r="1034" spans="1:16" x14ac:dyDescent="0.25">
      <c r="A1034" s="23">
        <f t="shared" si="64"/>
        <v>1033</v>
      </c>
      <c r="B1034" s="24">
        <v>43287</v>
      </c>
      <c r="C1034" s="18" t="str">
        <f t="shared" si="65"/>
        <v>Friday</v>
      </c>
      <c r="D1034" s="10" t="str">
        <f t="shared" si="66"/>
        <v>Same</v>
      </c>
      <c r="E1034" s="2">
        <v>44.92</v>
      </c>
      <c r="F1034" s="2">
        <v>10</v>
      </c>
      <c r="G1034" s="1">
        <f t="shared" si="67"/>
        <v>0.22261798753339268</v>
      </c>
      <c r="H1034" s="2">
        <v>5</v>
      </c>
      <c r="I1034" s="26">
        <v>0.79861111111111116</v>
      </c>
      <c r="J1034" s="26">
        <v>0.83333333333333337</v>
      </c>
      <c r="K1034" s="27">
        <f>Table3[[#This Row],[Delivery Time]]-Table3[[#This Row],[Order Time]]</f>
        <v>3.472222222222221E-2</v>
      </c>
      <c r="L1034" s="43">
        <v>50</v>
      </c>
      <c r="M1034" s="25" t="s">
        <v>11</v>
      </c>
      <c r="N1034" s="28"/>
      <c r="O1034" s="28" t="s">
        <v>39</v>
      </c>
      <c r="P1034" s="25" t="s">
        <v>20</v>
      </c>
    </row>
    <row r="1035" spans="1:16" x14ac:dyDescent="0.25">
      <c r="A1035" s="23">
        <f t="shared" si="64"/>
        <v>1034</v>
      </c>
      <c r="B1035" s="24">
        <v>43287</v>
      </c>
      <c r="C1035" s="18" t="str">
        <f t="shared" si="65"/>
        <v>Friday</v>
      </c>
      <c r="D1035" s="10" t="str">
        <f t="shared" si="66"/>
        <v>Same</v>
      </c>
      <c r="E1035" s="2">
        <v>28.36</v>
      </c>
      <c r="F1035" s="2">
        <v>6</v>
      </c>
      <c r="G1035" s="1">
        <f t="shared" si="67"/>
        <v>0.21156558533145275</v>
      </c>
      <c r="H1035" s="2">
        <v>5</v>
      </c>
      <c r="I1035" s="26">
        <v>0.8354166666666667</v>
      </c>
      <c r="J1035" s="26">
        <v>0.86249999999999993</v>
      </c>
      <c r="K1035" s="27">
        <f>Table3[[#This Row],[Delivery Time]]-Table3[[#This Row],[Order Time]]</f>
        <v>2.7083333333333237E-2</v>
      </c>
      <c r="L1035" s="43">
        <v>39</v>
      </c>
      <c r="M1035" s="25" t="s">
        <v>0</v>
      </c>
      <c r="N1035" s="28"/>
      <c r="O1035" s="28" t="s">
        <v>39</v>
      </c>
      <c r="P1035" s="25" t="s">
        <v>20</v>
      </c>
    </row>
    <row r="1036" spans="1:16" x14ac:dyDescent="0.25">
      <c r="A1036" s="23">
        <f t="shared" si="64"/>
        <v>1035</v>
      </c>
      <c r="B1036" s="24">
        <v>43287</v>
      </c>
      <c r="C1036" s="18" t="str">
        <f t="shared" si="65"/>
        <v>Friday</v>
      </c>
      <c r="D1036" s="10" t="str">
        <f t="shared" si="66"/>
        <v>Same</v>
      </c>
      <c r="E1036" s="2">
        <v>27.01</v>
      </c>
      <c r="F1036" s="2">
        <v>5</v>
      </c>
      <c r="G1036" s="1">
        <f t="shared" si="67"/>
        <v>0.18511662347278784</v>
      </c>
      <c r="H1036" s="2">
        <v>1.5</v>
      </c>
      <c r="I1036" s="26">
        <v>0.89236111111111116</v>
      </c>
      <c r="J1036" s="26">
        <v>0.90902777777777777</v>
      </c>
      <c r="K1036" s="27">
        <f>Table3[[#This Row],[Delivery Time]]-Table3[[#This Row],[Order Time]]</f>
        <v>1.6666666666666607E-2</v>
      </c>
      <c r="L1036" s="43">
        <v>24</v>
      </c>
      <c r="M1036" s="25" t="s">
        <v>11</v>
      </c>
      <c r="N1036" s="28"/>
      <c r="O1036" s="28" t="s">
        <v>39</v>
      </c>
      <c r="P1036" s="25" t="s">
        <v>20</v>
      </c>
    </row>
    <row r="1037" spans="1:16" x14ac:dyDescent="0.25">
      <c r="A1037" s="23">
        <f t="shared" si="64"/>
        <v>1036</v>
      </c>
      <c r="B1037" s="24">
        <v>43288</v>
      </c>
      <c r="C1037" s="18" t="str">
        <f t="shared" si="65"/>
        <v>Saturday</v>
      </c>
      <c r="D1037" s="10" t="str">
        <f t="shared" si="66"/>
        <v>Different</v>
      </c>
      <c r="E1037" s="2">
        <v>68.63</v>
      </c>
      <c r="F1037" s="2">
        <v>12</v>
      </c>
      <c r="G1037" s="1">
        <f t="shared" si="67"/>
        <v>0.17485064840448786</v>
      </c>
      <c r="H1037" s="2">
        <v>1.5</v>
      </c>
      <c r="I1037" s="26">
        <v>0.73888888888888893</v>
      </c>
      <c r="J1037" s="26">
        <v>0.7597222222222223</v>
      </c>
      <c r="K1037" s="27">
        <f>Table3[[#This Row],[Delivery Time]]-Table3[[#This Row],[Order Time]]</f>
        <v>2.083333333333337E-2</v>
      </c>
      <c r="L1037" s="43">
        <v>30</v>
      </c>
      <c r="M1037" s="25" t="s">
        <v>0</v>
      </c>
      <c r="N1037" s="28"/>
      <c r="O1037" s="28" t="s">
        <v>39</v>
      </c>
      <c r="P1037" s="25" t="s">
        <v>20</v>
      </c>
    </row>
    <row r="1038" spans="1:16" x14ac:dyDescent="0.25">
      <c r="A1038" s="23">
        <f t="shared" si="64"/>
        <v>1037</v>
      </c>
      <c r="B1038" s="24">
        <v>43289</v>
      </c>
      <c r="C1038" s="18" t="str">
        <f t="shared" si="65"/>
        <v>Sunday</v>
      </c>
      <c r="D1038" s="10" t="str">
        <f t="shared" si="66"/>
        <v>Different</v>
      </c>
      <c r="E1038" s="2">
        <v>23.22</v>
      </c>
      <c r="F1038" s="2">
        <v>5</v>
      </c>
      <c r="G1038" s="1">
        <f t="shared" si="67"/>
        <v>0.2153316106804479</v>
      </c>
      <c r="H1038" s="2">
        <v>1.5</v>
      </c>
      <c r="I1038" s="26">
        <v>0.49236111111111108</v>
      </c>
      <c r="J1038" s="26">
        <v>0.51250000000000007</v>
      </c>
      <c r="K1038" s="27">
        <f>Table3[[#This Row],[Delivery Time]]-Table3[[#This Row],[Order Time]]</f>
        <v>2.0138888888888984E-2</v>
      </c>
      <c r="L1038" s="43">
        <v>29.000000000000004</v>
      </c>
      <c r="M1038" s="25" t="s">
        <v>0</v>
      </c>
      <c r="N1038" s="28"/>
      <c r="O1038" s="28" t="s">
        <v>39</v>
      </c>
      <c r="P1038" s="25" t="s">
        <v>20</v>
      </c>
    </row>
    <row r="1039" spans="1:16" x14ac:dyDescent="0.25">
      <c r="A1039" s="23">
        <f t="shared" si="64"/>
        <v>1038</v>
      </c>
      <c r="B1039" s="24">
        <v>43289</v>
      </c>
      <c r="C1039" s="18" t="str">
        <f t="shared" si="65"/>
        <v>Sunday</v>
      </c>
      <c r="D1039" s="10" t="str">
        <f t="shared" si="66"/>
        <v>Same</v>
      </c>
      <c r="E1039" s="2">
        <v>46.49</v>
      </c>
      <c r="F1039" s="2">
        <v>10</v>
      </c>
      <c r="G1039" s="1">
        <f t="shared" si="67"/>
        <v>0.21510002151000215</v>
      </c>
      <c r="H1039" s="2">
        <v>1.5</v>
      </c>
      <c r="I1039" s="26">
        <v>0.53749999999999998</v>
      </c>
      <c r="J1039" s="26">
        <v>0.55625000000000002</v>
      </c>
      <c r="K1039" s="27">
        <f>Table3[[#This Row],[Delivery Time]]-Table3[[#This Row],[Order Time]]</f>
        <v>1.8750000000000044E-2</v>
      </c>
      <c r="L1039" s="43">
        <v>26.999999999999996</v>
      </c>
      <c r="M1039" s="25" t="s">
        <v>0</v>
      </c>
      <c r="N1039" s="28" t="s">
        <v>22</v>
      </c>
      <c r="O1039" s="28" t="s">
        <v>39</v>
      </c>
      <c r="P1039" s="25" t="s">
        <v>20</v>
      </c>
    </row>
    <row r="1040" spans="1:16" x14ac:dyDescent="0.25">
      <c r="A1040" s="23">
        <f t="shared" si="64"/>
        <v>1039</v>
      </c>
      <c r="B1040" s="24">
        <v>43289</v>
      </c>
      <c r="C1040" s="18" t="str">
        <f t="shared" si="65"/>
        <v>Sunday</v>
      </c>
      <c r="D1040" s="10" t="str">
        <f t="shared" si="66"/>
        <v>Same</v>
      </c>
      <c r="E1040" s="2">
        <v>20.57</v>
      </c>
      <c r="F1040" s="2">
        <v>5.43</v>
      </c>
      <c r="G1040" s="1">
        <f t="shared" si="67"/>
        <v>0.26397666504618372</v>
      </c>
      <c r="H1040" s="2">
        <v>1.5</v>
      </c>
      <c r="I1040" s="26">
        <v>0.55486111111111114</v>
      </c>
      <c r="J1040" s="26">
        <v>0.58263888888888882</v>
      </c>
      <c r="K1040" s="27">
        <f>Table3[[#This Row],[Delivery Time]]-Table3[[#This Row],[Order Time]]</f>
        <v>2.7777777777777679E-2</v>
      </c>
      <c r="L1040" s="43">
        <v>40</v>
      </c>
      <c r="M1040" s="25" t="s">
        <v>0</v>
      </c>
      <c r="N1040" s="28" t="s">
        <v>22</v>
      </c>
      <c r="O1040" s="28" t="s">
        <v>39</v>
      </c>
      <c r="P1040" s="25" t="s">
        <v>20</v>
      </c>
    </row>
    <row r="1041" spans="1:16" x14ac:dyDescent="0.25">
      <c r="A1041" s="23">
        <f t="shared" si="64"/>
        <v>1040</v>
      </c>
      <c r="B1041" s="24">
        <v>43289</v>
      </c>
      <c r="C1041" s="18" t="str">
        <f t="shared" si="65"/>
        <v>Sunday</v>
      </c>
      <c r="D1041" s="10" t="str">
        <f t="shared" si="66"/>
        <v>Same</v>
      </c>
      <c r="E1041" s="2">
        <v>35.07</v>
      </c>
      <c r="F1041" s="2">
        <v>7</v>
      </c>
      <c r="G1041" s="1">
        <f t="shared" si="67"/>
        <v>0.19960079840319361</v>
      </c>
      <c r="H1041" s="2">
        <v>1.5</v>
      </c>
      <c r="I1041" s="26">
        <v>0.56388888888888888</v>
      </c>
      <c r="J1041" s="26">
        <v>0.58611111111111114</v>
      </c>
      <c r="K1041" s="27">
        <f>Table3[[#This Row],[Delivery Time]]-Table3[[#This Row],[Order Time]]</f>
        <v>2.2222222222222254E-2</v>
      </c>
      <c r="L1041" s="43">
        <v>32</v>
      </c>
      <c r="M1041" s="25" t="s">
        <v>0</v>
      </c>
      <c r="N1041" s="28" t="s">
        <v>22</v>
      </c>
      <c r="O1041" s="28" t="s">
        <v>39</v>
      </c>
      <c r="P1041" s="25" t="s">
        <v>20</v>
      </c>
    </row>
    <row r="1042" spans="1:16" x14ac:dyDescent="0.25">
      <c r="A1042" s="23">
        <f t="shared" si="64"/>
        <v>1041</v>
      </c>
      <c r="B1042" s="24">
        <v>43289</v>
      </c>
      <c r="C1042" s="18" t="str">
        <f t="shared" si="65"/>
        <v>Sunday</v>
      </c>
      <c r="D1042" s="10" t="str">
        <f t="shared" si="66"/>
        <v>Same</v>
      </c>
      <c r="E1042" s="2">
        <v>46.44</v>
      </c>
      <c r="F1042" s="2">
        <v>5</v>
      </c>
      <c r="G1042" s="1">
        <f t="shared" si="67"/>
        <v>0.10766580534022395</v>
      </c>
      <c r="H1042" s="2">
        <v>1.5</v>
      </c>
      <c r="I1042" s="26">
        <v>0.55069444444444449</v>
      </c>
      <c r="J1042" s="26">
        <v>0.59166666666666667</v>
      </c>
      <c r="K1042" s="27">
        <f>Table3[[#This Row],[Delivery Time]]-Table3[[#This Row],[Order Time]]</f>
        <v>4.0972222222222188E-2</v>
      </c>
      <c r="L1042" s="43">
        <v>59</v>
      </c>
      <c r="M1042" s="25" t="s">
        <v>0</v>
      </c>
      <c r="N1042" s="28" t="s">
        <v>22</v>
      </c>
      <c r="O1042" s="28" t="s">
        <v>39</v>
      </c>
      <c r="P1042" s="25" t="s">
        <v>20</v>
      </c>
    </row>
    <row r="1043" spans="1:16" x14ac:dyDescent="0.25">
      <c r="A1043" s="23">
        <f t="shared" si="64"/>
        <v>1042</v>
      </c>
      <c r="B1043" s="24">
        <v>43289</v>
      </c>
      <c r="C1043" s="18" t="str">
        <f t="shared" si="65"/>
        <v>Sunday</v>
      </c>
      <c r="D1043" s="10" t="str">
        <f t="shared" si="66"/>
        <v>Same</v>
      </c>
      <c r="E1043" s="2">
        <v>38.92</v>
      </c>
      <c r="F1043" s="2">
        <v>8</v>
      </c>
      <c r="G1043" s="1">
        <f t="shared" si="67"/>
        <v>0.20554984583761562</v>
      </c>
      <c r="H1043" s="2">
        <v>1.5</v>
      </c>
      <c r="I1043" s="26">
        <v>0.56666666666666665</v>
      </c>
      <c r="J1043" s="26">
        <v>0.60277777777777775</v>
      </c>
      <c r="K1043" s="27">
        <f>Table3[[#This Row],[Delivery Time]]-Table3[[#This Row],[Order Time]]</f>
        <v>3.6111111111111094E-2</v>
      </c>
      <c r="L1043" s="43">
        <v>52</v>
      </c>
      <c r="M1043" s="25" t="s">
        <v>11</v>
      </c>
      <c r="N1043" s="28"/>
      <c r="O1043" s="28" t="s">
        <v>42</v>
      </c>
      <c r="P1043" s="25" t="s">
        <v>20</v>
      </c>
    </row>
    <row r="1044" spans="1:16" x14ac:dyDescent="0.25">
      <c r="A1044" s="23">
        <f t="shared" si="64"/>
        <v>1043</v>
      </c>
      <c r="B1044" s="24">
        <v>43289</v>
      </c>
      <c r="C1044" s="18" t="str">
        <f t="shared" si="65"/>
        <v>Sunday</v>
      </c>
      <c r="D1044" s="10" t="str">
        <f t="shared" si="66"/>
        <v>Same</v>
      </c>
      <c r="E1044" s="2">
        <v>17.54</v>
      </c>
      <c r="F1044" s="2">
        <v>4.46</v>
      </c>
      <c r="G1044" s="1">
        <f t="shared" si="67"/>
        <v>0.25427594070695553</v>
      </c>
      <c r="H1044" s="2">
        <v>1.5</v>
      </c>
      <c r="I1044" s="26">
        <v>0.57708333333333328</v>
      </c>
      <c r="J1044" s="26">
        <v>0.61527777777777781</v>
      </c>
      <c r="K1044" s="27">
        <f>Table3[[#This Row],[Delivery Time]]-Table3[[#This Row],[Order Time]]</f>
        <v>3.8194444444444531E-2</v>
      </c>
      <c r="L1044" s="43">
        <v>54.999999999999993</v>
      </c>
      <c r="M1044" s="25" t="s">
        <v>11</v>
      </c>
      <c r="N1044" s="28"/>
      <c r="O1044" s="28" t="s">
        <v>41</v>
      </c>
      <c r="P1044" s="25" t="s">
        <v>20</v>
      </c>
    </row>
    <row r="1045" spans="1:16" x14ac:dyDescent="0.25">
      <c r="A1045" s="23">
        <f t="shared" si="64"/>
        <v>1044</v>
      </c>
      <c r="B1045" s="24">
        <v>43289</v>
      </c>
      <c r="C1045" s="18" t="str">
        <f t="shared" si="65"/>
        <v>Sunday</v>
      </c>
      <c r="D1045" s="10" t="str">
        <f t="shared" si="66"/>
        <v>Same</v>
      </c>
      <c r="E1045" s="2">
        <v>54.83</v>
      </c>
      <c r="F1045" s="2">
        <v>4</v>
      </c>
      <c r="G1045" s="1">
        <f t="shared" si="67"/>
        <v>7.2952763085901887E-2</v>
      </c>
      <c r="H1045" s="2">
        <v>1.5</v>
      </c>
      <c r="I1045" s="26">
        <v>0.62430555555555556</v>
      </c>
      <c r="J1045" s="26">
        <v>0.64166666666666672</v>
      </c>
      <c r="K1045" s="27">
        <f>Table3[[#This Row],[Delivery Time]]-Table3[[#This Row],[Order Time]]</f>
        <v>1.736111111111116E-2</v>
      </c>
      <c r="L1045" s="43">
        <v>25</v>
      </c>
      <c r="M1045" s="25" t="s">
        <v>11</v>
      </c>
      <c r="N1045" s="28"/>
      <c r="O1045" s="28" t="s">
        <v>39</v>
      </c>
      <c r="P1045" s="25" t="s">
        <v>20</v>
      </c>
    </row>
    <row r="1046" spans="1:16" x14ac:dyDescent="0.25">
      <c r="A1046" s="23">
        <f t="shared" si="64"/>
        <v>1045</v>
      </c>
      <c r="B1046" s="24">
        <v>43289</v>
      </c>
      <c r="C1046" s="18" t="str">
        <f t="shared" si="65"/>
        <v>Sunday</v>
      </c>
      <c r="D1046" s="10" t="str">
        <f t="shared" si="66"/>
        <v>Same</v>
      </c>
      <c r="E1046" s="2">
        <v>26.74</v>
      </c>
      <c r="F1046" s="2">
        <v>5</v>
      </c>
      <c r="G1046" s="1">
        <f t="shared" si="67"/>
        <v>0.18698578908002994</v>
      </c>
      <c r="H1046" s="2">
        <v>1.5</v>
      </c>
      <c r="I1046" s="26">
        <v>0.67569444444444438</v>
      </c>
      <c r="J1046" s="26">
        <v>0.68958333333333333</v>
      </c>
      <c r="K1046" s="27">
        <f>Table3[[#This Row],[Delivery Time]]-Table3[[#This Row],[Order Time]]</f>
        <v>1.3888888888888951E-2</v>
      </c>
      <c r="L1046" s="43">
        <v>20</v>
      </c>
      <c r="M1046" s="25" t="s">
        <v>11</v>
      </c>
      <c r="N1046" s="28"/>
      <c r="O1046" s="28" t="s">
        <v>41</v>
      </c>
      <c r="P1046" s="25" t="s">
        <v>20</v>
      </c>
    </row>
    <row r="1047" spans="1:16" x14ac:dyDescent="0.25">
      <c r="A1047" s="23">
        <f t="shared" si="64"/>
        <v>1046</v>
      </c>
      <c r="B1047" s="24">
        <v>43289</v>
      </c>
      <c r="C1047" s="18" t="str">
        <f t="shared" si="65"/>
        <v>Sunday</v>
      </c>
      <c r="D1047" s="10" t="str">
        <f t="shared" si="66"/>
        <v>Same</v>
      </c>
      <c r="E1047" s="2">
        <v>52.12</v>
      </c>
      <c r="F1047" s="2">
        <v>7</v>
      </c>
      <c r="G1047" s="1">
        <f t="shared" si="67"/>
        <v>0.1343054489639294</v>
      </c>
      <c r="H1047" s="2">
        <v>1.5</v>
      </c>
      <c r="I1047" s="26">
        <v>0.71527777777777779</v>
      </c>
      <c r="J1047" s="26">
        <v>0.73611111111111116</v>
      </c>
      <c r="K1047" s="27">
        <f>Table3[[#This Row],[Delivery Time]]-Table3[[#This Row],[Order Time]]</f>
        <v>2.083333333333337E-2</v>
      </c>
      <c r="L1047" s="43">
        <v>30</v>
      </c>
      <c r="M1047" s="25" t="s">
        <v>11</v>
      </c>
      <c r="N1047" s="28"/>
      <c r="O1047" s="28" t="s">
        <v>39</v>
      </c>
      <c r="P1047" s="25" t="s">
        <v>20</v>
      </c>
    </row>
    <row r="1048" spans="1:16" x14ac:dyDescent="0.25">
      <c r="A1048" s="23">
        <f t="shared" ref="A1048:A1111" si="68">ROW(A1047)</f>
        <v>1047</v>
      </c>
      <c r="B1048" s="24">
        <v>43289</v>
      </c>
      <c r="C1048" s="18" t="str">
        <f t="shared" si="65"/>
        <v>Sunday</v>
      </c>
      <c r="D1048" s="10" t="str">
        <f t="shared" si="66"/>
        <v>Same</v>
      </c>
      <c r="E1048" s="2">
        <v>18.350000000000001</v>
      </c>
      <c r="F1048" s="2">
        <v>5</v>
      </c>
      <c r="G1048" s="1">
        <f t="shared" si="67"/>
        <v>0.27247956403269752</v>
      </c>
      <c r="H1048" s="2">
        <v>1.5</v>
      </c>
      <c r="I1048" s="26">
        <v>0.71736111111111101</v>
      </c>
      <c r="J1048" s="26">
        <v>0.74513888888888891</v>
      </c>
      <c r="K1048" s="27">
        <f>Table3[[#This Row],[Delivery Time]]-Table3[[#This Row],[Order Time]]</f>
        <v>2.7777777777777901E-2</v>
      </c>
      <c r="L1048" s="43">
        <v>40</v>
      </c>
      <c r="M1048" s="25" t="s">
        <v>11</v>
      </c>
      <c r="N1048" s="28"/>
      <c r="O1048" s="28" t="s">
        <v>41</v>
      </c>
      <c r="P1048" s="25" t="s">
        <v>20</v>
      </c>
    </row>
    <row r="1049" spans="1:16" x14ac:dyDescent="0.25">
      <c r="A1049" s="23">
        <f t="shared" si="68"/>
        <v>1048</v>
      </c>
      <c r="B1049" s="24">
        <v>43289</v>
      </c>
      <c r="C1049" s="18" t="str">
        <f t="shared" si="65"/>
        <v>Sunday</v>
      </c>
      <c r="D1049" s="10" t="str">
        <f t="shared" si="66"/>
        <v>Same</v>
      </c>
      <c r="E1049" s="2">
        <v>111.5</v>
      </c>
      <c r="F1049" s="2">
        <v>25</v>
      </c>
      <c r="G1049" s="1">
        <f t="shared" si="67"/>
        <v>0.22421524663677131</v>
      </c>
      <c r="H1049" s="2">
        <v>1.5</v>
      </c>
      <c r="I1049" s="26">
        <v>0.74583333333333324</v>
      </c>
      <c r="J1049" s="26">
        <v>0.77777777777777779</v>
      </c>
      <c r="K1049" s="27">
        <f>Table3[[#This Row],[Delivery Time]]-Table3[[#This Row],[Order Time]]</f>
        <v>3.1944444444444553E-2</v>
      </c>
      <c r="L1049" s="43">
        <v>46.000000000000007</v>
      </c>
      <c r="M1049" s="25" t="s">
        <v>0</v>
      </c>
      <c r="N1049" s="28" t="s">
        <v>22</v>
      </c>
      <c r="O1049" s="28" t="s">
        <v>39</v>
      </c>
      <c r="P1049" s="25" t="s">
        <v>20</v>
      </c>
    </row>
    <row r="1050" spans="1:16" x14ac:dyDescent="0.25">
      <c r="A1050" s="23">
        <f t="shared" si="68"/>
        <v>1049</v>
      </c>
      <c r="B1050" s="24">
        <v>43289</v>
      </c>
      <c r="C1050" s="18" t="str">
        <f t="shared" si="65"/>
        <v>Sunday</v>
      </c>
      <c r="D1050" s="10" t="str">
        <f t="shared" si="66"/>
        <v>Same</v>
      </c>
      <c r="E1050" s="2">
        <v>22.41</v>
      </c>
      <c r="F1050" s="2">
        <v>5</v>
      </c>
      <c r="G1050" s="1">
        <f t="shared" si="67"/>
        <v>0.22311468094600626</v>
      </c>
      <c r="H1050" s="2">
        <v>1.5</v>
      </c>
      <c r="I1050" s="26">
        <v>0.75555555555555554</v>
      </c>
      <c r="J1050" s="26">
        <v>0.78125</v>
      </c>
      <c r="K1050" s="27">
        <f>Table3[[#This Row],[Delivery Time]]-Table3[[#This Row],[Order Time]]</f>
        <v>2.5694444444444464E-2</v>
      </c>
      <c r="L1050" s="43">
        <v>37</v>
      </c>
      <c r="M1050" s="25" t="s">
        <v>0</v>
      </c>
      <c r="N1050" s="28" t="s">
        <v>22</v>
      </c>
      <c r="O1050" s="28" t="s">
        <v>39</v>
      </c>
      <c r="P1050" s="25" t="s">
        <v>20</v>
      </c>
    </row>
    <row r="1051" spans="1:16" x14ac:dyDescent="0.25">
      <c r="A1051" s="23">
        <f t="shared" si="68"/>
        <v>1050</v>
      </c>
      <c r="B1051" s="24">
        <v>43289</v>
      </c>
      <c r="C1051" s="18" t="str">
        <f t="shared" si="65"/>
        <v>Sunday</v>
      </c>
      <c r="D1051" s="10" t="str">
        <f t="shared" si="66"/>
        <v>Same</v>
      </c>
      <c r="E1051" s="2">
        <v>19.97</v>
      </c>
      <c r="F1051" s="2">
        <v>4</v>
      </c>
      <c r="G1051" s="1">
        <f t="shared" si="67"/>
        <v>0.20030045067601404</v>
      </c>
      <c r="H1051" s="2">
        <v>5</v>
      </c>
      <c r="I1051" s="26">
        <v>0.75763888888888886</v>
      </c>
      <c r="J1051" s="26">
        <v>0.79166666666666663</v>
      </c>
      <c r="K1051" s="27">
        <f>Table3[[#This Row],[Delivery Time]]-Table3[[#This Row],[Order Time]]</f>
        <v>3.4027777777777768E-2</v>
      </c>
      <c r="L1051" s="43">
        <v>49</v>
      </c>
      <c r="M1051" s="25" t="s">
        <v>0</v>
      </c>
      <c r="N1051" s="28"/>
      <c r="O1051" s="28" t="s">
        <v>39</v>
      </c>
      <c r="P1051" s="25" t="s">
        <v>20</v>
      </c>
    </row>
    <row r="1052" spans="1:16" x14ac:dyDescent="0.25">
      <c r="A1052" s="23">
        <f t="shared" si="68"/>
        <v>1051</v>
      </c>
      <c r="B1052" s="24">
        <v>43295</v>
      </c>
      <c r="C1052" s="18" t="str">
        <f t="shared" si="65"/>
        <v>Saturday</v>
      </c>
      <c r="D1052" s="10" t="str">
        <f t="shared" si="66"/>
        <v>Different</v>
      </c>
      <c r="E1052" s="2">
        <v>18.670000000000002</v>
      </c>
      <c r="F1052" s="2">
        <v>5</v>
      </c>
      <c r="G1052" s="1">
        <f t="shared" si="67"/>
        <v>0.26780931976432776</v>
      </c>
      <c r="H1052" s="2">
        <v>1.5</v>
      </c>
      <c r="I1052" s="26">
        <v>0.73055555555555562</v>
      </c>
      <c r="J1052" s="26">
        <v>0.75208333333333333</v>
      </c>
      <c r="K1052" s="27">
        <f>Table3[[#This Row],[Delivery Time]]-Table3[[#This Row],[Order Time]]</f>
        <v>2.1527777777777701E-2</v>
      </c>
      <c r="L1052" s="43">
        <v>31.000000000000004</v>
      </c>
      <c r="M1052" s="25" t="s">
        <v>0</v>
      </c>
      <c r="N1052" s="28"/>
      <c r="O1052" s="28" t="s">
        <v>41</v>
      </c>
      <c r="P1052" s="25" t="s">
        <v>20</v>
      </c>
    </row>
    <row r="1053" spans="1:16" x14ac:dyDescent="0.25">
      <c r="A1053" s="23">
        <f t="shared" si="68"/>
        <v>1052</v>
      </c>
      <c r="B1053" s="24">
        <v>43295</v>
      </c>
      <c r="C1053" s="18" t="str">
        <f t="shared" si="65"/>
        <v>Saturday</v>
      </c>
      <c r="D1053" s="10" t="str">
        <f t="shared" si="66"/>
        <v>Same</v>
      </c>
      <c r="E1053" s="2">
        <v>47.52</v>
      </c>
      <c r="F1053" s="2">
        <v>5</v>
      </c>
      <c r="G1053" s="1">
        <f t="shared" si="67"/>
        <v>0.10521885521885521</v>
      </c>
      <c r="H1053" s="2">
        <v>1.5</v>
      </c>
      <c r="I1053" s="26">
        <v>0.77777777777777779</v>
      </c>
      <c r="J1053" s="26">
        <v>0.80208333333333337</v>
      </c>
      <c r="K1053" s="27">
        <f>Table3[[#This Row],[Delivery Time]]-Table3[[#This Row],[Order Time]]</f>
        <v>2.430555555555558E-2</v>
      </c>
      <c r="L1053" s="43">
        <v>35</v>
      </c>
      <c r="M1053" s="25" t="s">
        <v>12</v>
      </c>
      <c r="N1053" s="28"/>
      <c r="O1053" s="28" t="s">
        <v>39</v>
      </c>
      <c r="P1053" s="25" t="s">
        <v>20</v>
      </c>
    </row>
    <row r="1054" spans="1:16" x14ac:dyDescent="0.25">
      <c r="A1054" s="23">
        <f t="shared" si="68"/>
        <v>1053</v>
      </c>
      <c r="B1054" s="24">
        <v>43295</v>
      </c>
      <c r="C1054" s="18" t="str">
        <f t="shared" si="65"/>
        <v>Saturday</v>
      </c>
      <c r="D1054" s="10" t="str">
        <f t="shared" si="66"/>
        <v>Same</v>
      </c>
      <c r="E1054" s="2">
        <v>34.86</v>
      </c>
      <c r="F1054" s="2">
        <v>4</v>
      </c>
      <c r="G1054" s="1">
        <f t="shared" si="67"/>
        <v>0.11474469305794607</v>
      </c>
      <c r="H1054" s="2">
        <v>1.5</v>
      </c>
      <c r="I1054" s="26">
        <v>0.81527777777777777</v>
      </c>
      <c r="J1054" s="26">
        <v>0.83611111111111114</v>
      </c>
      <c r="K1054" s="27">
        <f>Table3[[#This Row],[Delivery Time]]-Table3[[#This Row],[Order Time]]</f>
        <v>2.083333333333337E-2</v>
      </c>
      <c r="L1054" s="43">
        <v>30</v>
      </c>
      <c r="M1054" s="25" t="s">
        <v>11</v>
      </c>
      <c r="N1054" s="28"/>
      <c r="O1054" s="28" t="s">
        <v>39</v>
      </c>
      <c r="P1054" s="25" t="s">
        <v>20</v>
      </c>
    </row>
    <row r="1055" spans="1:16" x14ac:dyDescent="0.25">
      <c r="A1055" s="23">
        <f t="shared" si="68"/>
        <v>1054</v>
      </c>
      <c r="B1055" s="24">
        <v>43295</v>
      </c>
      <c r="C1055" s="18" t="str">
        <f t="shared" si="65"/>
        <v>Saturday</v>
      </c>
      <c r="D1055" s="10" t="str">
        <f t="shared" si="66"/>
        <v>Same</v>
      </c>
      <c r="E1055" s="2">
        <v>58.08</v>
      </c>
      <c r="F1055" s="2">
        <v>5</v>
      </c>
      <c r="G1055" s="1">
        <f t="shared" si="67"/>
        <v>8.6088154269972461E-2</v>
      </c>
      <c r="H1055" s="2">
        <v>1.5</v>
      </c>
      <c r="I1055" s="26">
        <v>0.82916666666666661</v>
      </c>
      <c r="J1055" s="26">
        <v>0.86249999999999993</v>
      </c>
      <c r="K1055" s="27">
        <f>Table3[[#This Row],[Delivery Time]]-Table3[[#This Row],[Order Time]]</f>
        <v>3.3333333333333326E-2</v>
      </c>
      <c r="L1055" s="43">
        <v>48</v>
      </c>
      <c r="M1055" s="25" t="s">
        <v>11</v>
      </c>
      <c r="N1055" s="28"/>
      <c r="O1055" s="28" t="s">
        <v>39</v>
      </c>
      <c r="P1055" s="25" t="s">
        <v>20</v>
      </c>
    </row>
    <row r="1056" spans="1:16" x14ac:dyDescent="0.25">
      <c r="A1056" s="23">
        <f t="shared" si="68"/>
        <v>1055</v>
      </c>
      <c r="B1056" s="24">
        <v>43296</v>
      </c>
      <c r="C1056" s="18" t="str">
        <f t="shared" si="65"/>
        <v>Sunday</v>
      </c>
      <c r="D1056" s="10" t="str">
        <f t="shared" si="66"/>
        <v>Different</v>
      </c>
      <c r="E1056" s="2">
        <v>34.32</v>
      </c>
      <c r="F1056" s="2">
        <v>6</v>
      </c>
      <c r="G1056" s="1">
        <f t="shared" si="67"/>
        <v>0.17482517482517482</v>
      </c>
      <c r="H1056" s="2">
        <v>1.5</v>
      </c>
      <c r="I1056" s="26">
        <v>0.71875</v>
      </c>
      <c r="J1056" s="26">
        <v>0.73958333333333337</v>
      </c>
      <c r="K1056" s="27">
        <f>Table3[[#This Row],[Delivery Time]]-Table3[[#This Row],[Order Time]]</f>
        <v>2.083333333333337E-2</v>
      </c>
      <c r="L1056" s="43">
        <v>30</v>
      </c>
      <c r="M1056" s="25" t="s">
        <v>11</v>
      </c>
      <c r="N1056" s="28"/>
      <c r="O1056" s="28" t="s">
        <v>41</v>
      </c>
      <c r="P1056" s="25" t="s">
        <v>20</v>
      </c>
    </row>
    <row r="1057" spans="1:16" x14ac:dyDescent="0.25">
      <c r="A1057" s="23">
        <f t="shared" si="68"/>
        <v>1056</v>
      </c>
      <c r="B1057" s="24">
        <v>43296</v>
      </c>
      <c r="C1057" s="18" t="str">
        <f t="shared" si="65"/>
        <v>Sunday</v>
      </c>
      <c r="D1057" s="10" t="str">
        <f t="shared" si="66"/>
        <v>Same</v>
      </c>
      <c r="E1057" s="2">
        <v>20.78</v>
      </c>
      <c r="F1057" s="2">
        <v>2</v>
      </c>
      <c r="G1057" s="1">
        <f t="shared" si="67"/>
        <v>9.6246390760346481E-2</v>
      </c>
      <c r="H1057" s="2">
        <v>1.5</v>
      </c>
      <c r="I1057" s="26">
        <v>0.76527777777777783</v>
      </c>
      <c r="J1057" s="26">
        <v>0.78749999999999998</v>
      </c>
      <c r="K1057" s="27">
        <f>Table3[[#This Row],[Delivery Time]]-Table3[[#This Row],[Order Time]]</f>
        <v>2.2222222222222143E-2</v>
      </c>
      <c r="L1057" s="43">
        <v>32</v>
      </c>
      <c r="M1057" s="25" t="s">
        <v>0</v>
      </c>
      <c r="N1057" s="28"/>
      <c r="O1057" s="28" t="s">
        <v>39</v>
      </c>
      <c r="P1057" s="25" t="s">
        <v>20</v>
      </c>
    </row>
    <row r="1058" spans="1:16" x14ac:dyDescent="0.25">
      <c r="A1058" s="23">
        <f t="shared" si="68"/>
        <v>1057</v>
      </c>
      <c r="B1058" s="24">
        <v>43296</v>
      </c>
      <c r="C1058" s="18" t="str">
        <f t="shared" si="65"/>
        <v>Sunday</v>
      </c>
      <c r="D1058" s="10" t="str">
        <f t="shared" si="66"/>
        <v>Same</v>
      </c>
      <c r="E1058" s="2">
        <v>31.83</v>
      </c>
      <c r="F1058" s="2">
        <v>6</v>
      </c>
      <c r="G1058" s="1">
        <f t="shared" si="67"/>
        <v>0.18850141376060323</v>
      </c>
      <c r="H1058" s="2">
        <v>5</v>
      </c>
      <c r="I1058" s="26">
        <v>0.7680555555555556</v>
      </c>
      <c r="J1058" s="26">
        <v>0.79513888888888884</v>
      </c>
      <c r="K1058" s="27">
        <f>Table3[[#This Row],[Delivery Time]]-Table3[[#This Row],[Order Time]]</f>
        <v>2.7083333333333237E-2</v>
      </c>
      <c r="L1058" s="43">
        <v>39</v>
      </c>
      <c r="M1058" s="25" t="s">
        <v>0</v>
      </c>
      <c r="N1058" s="28"/>
      <c r="O1058" s="28" t="s">
        <v>39</v>
      </c>
      <c r="P1058" s="25" t="s">
        <v>20</v>
      </c>
    </row>
    <row r="1059" spans="1:16" x14ac:dyDescent="0.25">
      <c r="A1059" s="23">
        <f t="shared" si="68"/>
        <v>1058</v>
      </c>
      <c r="B1059" s="24">
        <v>43296</v>
      </c>
      <c r="C1059" s="18" t="str">
        <f t="shared" si="65"/>
        <v>Sunday</v>
      </c>
      <c r="D1059" s="10" t="str">
        <f t="shared" si="66"/>
        <v>Same</v>
      </c>
      <c r="E1059" s="2">
        <v>33.18</v>
      </c>
      <c r="F1059" s="2">
        <v>7</v>
      </c>
      <c r="G1059" s="1">
        <f t="shared" si="67"/>
        <v>0.2109704641350211</v>
      </c>
      <c r="H1059" s="2">
        <v>1.5</v>
      </c>
      <c r="I1059" s="26">
        <v>0.80138888888888893</v>
      </c>
      <c r="J1059" s="26">
        <v>0.82500000000000007</v>
      </c>
      <c r="K1059" s="27">
        <f>Table3[[#This Row],[Delivery Time]]-Table3[[#This Row],[Order Time]]</f>
        <v>2.3611111111111138E-2</v>
      </c>
      <c r="L1059" s="43">
        <v>34</v>
      </c>
      <c r="M1059" s="25" t="s">
        <v>11</v>
      </c>
      <c r="N1059" s="28"/>
      <c r="O1059" s="28" t="s">
        <v>39</v>
      </c>
      <c r="P1059" s="25" t="s">
        <v>20</v>
      </c>
    </row>
    <row r="1060" spans="1:16" x14ac:dyDescent="0.25">
      <c r="A1060" s="23">
        <f t="shared" si="68"/>
        <v>1059</v>
      </c>
      <c r="B1060" s="24">
        <v>43301</v>
      </c>
      <c r="C1060" s="18" t="str">
        <f t="shared" si="65"/>
        <v>Friday</v>
      </c>
      <c r="D1060" s="10" t="str">
        <f t="shared" si="66"/>
        <v>Different</v>
      </c>
      <c r="E1060" s="2">
        <v>59.65</v>
      </c>
      <c r="F1060" s="2">
        <v>10</v>
      </c>
      <c r="G1060" s="1">
        <f t="shared" si="67"/>
        <v>0.16764459346186086</v>
      </c>
      <c r="H1060" s="2">
        <v>1.5</v>
      </c>
      <c r="I1060" s="26">
        <v>0.73958333333333337</v>
      </c>
      <c r="J1060" s="26">
        <v>0.75902777777777775</v>
      </c>
      <c r="K1060" s="27">
        <f>Table3[[#This Row],[Delivery Time]]-Table3[[#This Row],[Order Time]]</f>
        <v>1.9444444444444375E-2</v>
      </c>
      <c r="L1060" s="43">
        <v>28</v>
      </c>
      <c r="M1060" s="25" t="s">
        <v>11</v>
      </c>
      <c r="N1060" s="28"/>
      <c r="O1060" s="28" t="s">
        <v>39</v>
      </c>
      <c r="P1060" s="25" t="s">
        <v>20</v>
      </c>
    </row>
    <row r="1061" spans="1:16" x14ac:dyDescent="0.25">
      <c r="A1061" s="23">
        <f t="shared" si="68"/>
        <v>1060</v>
      </c>
      <c r="B1061" s="24">
        <v>43301</v>
      </c>
      <c r="C1061" s="18" t="str">
        <f t="shared" si="65"/>
        <v>Friday</v>
      </c>
      <c r="D1061" s="10" t="str">
        <f t="shared" si="66"/>
        <v>Same</v>
      </c>
      <c r="E1061" s="2">
        <v>27.55</v>
      </c>
      <c r="F1061" s="2">
        <v>15.45</v>
      </c>
      <c r="G1061" s="1">
        <f t="shared" si="67"/>
        <v>0.56079854809437379</v>
      </c>
      <c r="H1061" s="2">
        <v>5</v>
      </c>
      <c r="I1061" s="26">
        <v>0.78125</v>
      </c>
      <c r="J1061" s="26">
        <v>0.80069444444444438</v>
      </c>
      <c r="K1061" s="27">
        <f>Table3[[#This Row],[Delivery Time]]-Table3[[#This Row],[Order Time]]</f>
        <v>1.9444444444444375E-2</v>
      </c>
      <c r="L1061" s="43">
        <v>28</v>
      </c>
      <c r="M1061" s="25" t="s">
        <v>0</v>
      </c>
      <c r="N1061" s="28"/>
      <c r="O1061" s="28" t="s">
        <v>39</v>
      </c>
      <c r="P1061" s="25" t="s">
        <v>20</v>
      </c>
    </row>
    <row r="1062" spans="1:16" x14ac:dyDescent="0.25">
      <c r="A1062" s="23">
        <f t="shared" si="68"/>
        <v>1061</v>
      </c>
      <c r="B1062" s="24">
        <v>43301</v>
      </c>
      <c r="C1062" s="18" t="str">
        <f t="shared" si="65"/>
        <v>Friday</v>
      </c>
      <c r="D1062" s="10" t="str">
        <f t="shared" si="66"/>
        <v>Same</v>
      </c>
      <c r="E1062" s="2">
        <v>47.25</v>
      </c>
      <c r="F1062" s="2">
        <v>5</v>
      </c>
      <c r="G1062" s="1">
        <f t="shared" si="67"/>
        <v>0.10582010582010581</v>
      </c>
      <c r="H1062" s="2">
        <v>1.5</v>
      </c>
      <c r="I1062" s="26">
        <v>0.80625000000000002</v>
      </c>
      <c r="J1062" s="26">
        <v>0.82986111111111116</v>
      </c>
      <c r="K1062" s="27">
        <f>Table3[[#This Row],[Delivery Time]]-Table3[[#This Row],[Order Time]]</f>
        <v>2.3611111111111138E-2</v>
      </c>
      <c r="L1062" s="43">
        <v>34</v>
      </c>
      <c r="M1062" s="25" t="s">
        <v>0</v>
      </c>
      <c r="N1062" s="28"/>
      <c r="O1062" s="28" t="s">
        <v>40</v>
      </c>
      <c r="P1062" s="25" t="s">
        <v>20</v>
      </c>
    </row>
    <row r="1063" spans="1:16" x14ac:dyDescent="0.25">
      <c r="A1063" s="23">
        <f t="shared" si="68"/>
        <v>1062</v>
      </c>
      <c r="B1063" s="24">
        <v>43301</v>
      </c>
      <c r="C1063" s="18" t="str">
        <f t="shared" si="65"/>
        <v>Friday</v>
      </c>
      <c r="D1063" s="10" t="str">
        <f t="shared" si="66"/>
        <v>Same</v>
      </c>
      <c r="E1063" s="2">
        <v>49.74</v>
      </c>
      <c r="F1063" s="2">
        <v>7</v>
      </c>
      <c r="G1063" s="1">
        <f t="shared" si="67"/>
        <v>0.14073180538801769</v>
      </c>
      <c r="H1063" s="2">
        <v>5</v>
      </c>
      <c r="I1063" s="26">
        <v>0.80902777777777779</v>
      </c>
      <c r="J1063" s="26">
        <v>0.84513888888888899</v>
      </c>
      <c r="K1063" s="27">
        <f>Table3[[#This Row],[Delivery Time]]-Table3[[#This Row],[Order Time]]</f>
        <v>3.6111111111111205E-2</v>
      </c>
      <c r="L1063" s="43">
        <v>52</v>
      </c>
      <c r="M1063" s="25" t="s">
        <v>0</v>
      </c>
      <c r="N1063" s="28"/>
      <c r="O1063" s="28" t="s">
        <v>39</v>
      </c>
      <c r="P1063" s="25" t="s">
        <v>20</v>
      </c>
    </row>
    <row r="1064" spans="1:16" x14ac:dyDescent="0.25">
      <c r="A1064" s="23">
        <f t="shared" si="68"/>
        <v>1063</v>
      </c>
      <c r="B1064" s="24">
        <v>43301</v>
      </c>
      <c r="C1064" s="18" t="str">
        <f t="shared" si="65"/>
        <v>Friday</v>
      </c>
      <c r="D1064" s="10" t="str">
        <f t="shared" si="66"/>
        <v>Same</v>
      </c>
      <c r="E1064" s="2">
        <v>37.35</v>
      </c>
      <c r="F1064" s="2">
        <v>7.65</v>
      </c>
      <c r="G1064" s="1">
        <f t="shared" si="67"/>
        <v>0.20481927710843373</v>
      </c>
      <c r="H1064" s="2">
        <v>5</v>
      </c>
      <c r="I1064" s="26">
        <v>0.86319444444444438</v>
      </c>
      <c r="J1064" s="26">
        <v>0.88888888888888884</v>
      </c>
      <c r="K1064" s="27">
        <f>Table3[[#This Row],[Delivery Time]]-Table3[[#This Row],[Order Time]]</f>
        <v>2.5694444444444464E-2</v>
      </c>
      <c r="L1064" s="43">
        <v>37</v>
      </c>
      <c r="M1064" s="25" t="s">
        <v>11</v>
      </c>
      <c r="N1064" s="28"/>
      <c r="O1064" s="28" t="s">
        <v>39</v>
      </c>
      <c r="P1064" s="25" t="s">
        <v>20</v>
      </c>
    </row>
    <row r="1065" spans="1:16" x14ac:dyDescent="0.25">
      <c r="A1065" s="23">
        <f t="shared" si="68"/>
        <v>1064</v>
      </c>
      <c r="B1065" s="24">
        <v>43302</v>
      </c>
      <c r="C1065" s="18" t="str">
        <f t="shared" si="65"/>
        <v>Saturday</v>
      </c>
      <c r="D1065" s="10" t="str">
        <f t="shared" si="66"/>
        <v>Different</v>
      </c>
      <c r="E1065" s="2">
        <v>30.26</v>
      </c>
      <c r="F1065" s="2">
        <v>9.74</v>
      </c>
      <c r="G1065" s="1">
        <f t="shared" si="67"/>
        <v>0.32187706543291472</v>
      </c>
      <c r="H1065" s="2">
        <v>1.5</v>
      </c>
      <c r="I1065" s="26">
        <v>0.72083333333333333</v>
      </c>
      <c r="J1065" s="26">
        <v>0.7368055555555556</v>
      </c>
      <c r="K1065" s="27">
        <f>Table3[[#This Row],[Delivery Time]]-Table3[[#This Row],[Order Time]]</f>
        <v>1.5972222222222276E-2</v>
      </c>
      <c r="L1065" s="43">
        <v>23.000000000000004</v>
      </c>
      <c r="M1065" s="25" t="s">
        <v>11</v>
      </c>
      <c r="N1065" s="28"/>
      <c r="O1065" s="28" t="s">
        <v>39</v>
      </c>
      <c r="P1065" s="25" t="s">
        <v>20</v>
      </c>
    </row>
    <row r="1066" spans="1:16" x14ac:dyDescent="0.25">
      <c r="A1066" s="23">
        <f t="shared" si="68"/>
        <v>1065</v>
      </c>
      <c r="B1066" s="24">
        <v>43302</v>
      </c>
      <c r="C1066" s="18" t="str">
        <f t="shared" si="65"/>
        <v>Saturday</v>
      </c>
      <c r="D1066" s="10" t="str">
        <f t="shared" si="66"/>
        <v>Same</v>
      </c>
      <c r="E1066" s="2">
        <v>21.05</v>
      </c>
      <c r="F1066" s="2">
        <v>2</v>
      </c>
      <c r="G1066" s="1">
        <f t="shared" si="67"/>
        <v>9.5011876484560567E-2</v>
      </c>
      <c r="H1066" s="2">
        <v>5</v>
      </c>
      <c r="I1066" s="26">
        <v>0.75</v>
      </c>
      <c r="J1066" s="26">
        <v>0.76388888888888884</v>
      </c>
      <c r="K1066" s="27">
        <f>Table3[[#This Row],[Delivery Time]]-Table3[[#This Row],[Order Time]]</f>
        <v>1.388888888888884E-2</v>
      </c>
      <c r="L1066" s="43">
        <v>20</v>
      </c>
      <c r="M1066" s="25" t="s">
        <v>11</v>
      </c>
      <c r="N1066" s="28"/>
      <c r="O1066" s="28" t="s">
        <v>39</v>
      </c>
      <c r="P1066" s="25" t="s">
        <v>20</v>
      </c>
    </row>
    <row r="1067" spans="1:16" x14ac:dyDescent="0.25">
      <c r="A1067" s="23">
        <f t="shared" si="68"/>
        <v>1066</v>
      </c>
      <c r="B1067" s="24">
        <v>43302</v>
      </c>
      <c r="C1067" s="18" t="str">
        <f t="shared" si="65"/>
        <v>Saturday</v>
      </c>
      <c r="D1067" s="10" t="str">
        <f t="shared" si="66"/>
        <v>Same</v>
      </c>
      <c r="E1067" s="2">
        <v>33.020000000000003</v>
      </c>
      <c r="F1067" s="2">
        <v>8.98</v>
      </c>
      <c r="G1067" s="1">
        <f t="shared" si="67"/>
        <v>0.27195639006662625</v>
      </c>
      <c r="H1067" s="2">
        <v>1.5</v>
      </c>
      <c r="I1067" s="26">
        <v>0.80069444444444438</v>
      </c>
      <c r="J1067" s="26">
        <v>0.8208333333333333</v>
      </c>
      <c r="K1067" s="27">
        <f>Table3[[#This Row],[Delivery Time]]-Table3[[#This Row],[Order Time]]</f>
        <v>2.0138888888888928E-2</v>
      </c>
      <c r="L1067" s="43">
        <v>29.000000000000004</v>
      </c>
      <c r="M1067" s="25" t="s">
        <v>11</v>
      </c>
      <c r="N1067" s="28"/>
      <c r="O1067" s="28" t="s">
        <v>39</v>
      </c>
      <c r="P1067" s="25" t="s">
        <v>20</v>
      </c>
    </row>
    <row r="1068" spans="1:16" x14ac:dyDescent="0.25">
      <c r="A1068" s="23">
        <f t="shared" si="68"/>
        <v>1067</v>
      </c>
      <c r="B1068" s="24">
        <v>43302</v>
      </c>
      <c r="C1068" s="18" t="str">
        <f t="shared" si="65"/>
        <v>Saturday</v>
      </c>
      <c r="D1068" s="10" t="str">
        <f t="shared" si="66"/>
        <v>Same</v>
      </c>
      <c r="E1068" s="2">
        <v>54.88</v>
      </c>
      <c r="F1068" s="2">
        <v>9.1199999999999992</v>
      </c>
      <c r="G1068" s="1">
        <f t="shared" si="67"/>
        <v>0.16618075801749269</v>
      </c>
      <c r="H1068" s="2">
        <v>5</v>
      </c>
      <c r="I1068" s="26">
        <v>0.8256944444444444</v>
      </c>
      <c r="J1068" s="26">
        <v>0.87152777777777779</v>
      </c>
      <c r="K1068" s="27">
        <f>Table3[[#This Row],[Delivery Time]]-Table3[[#This Row],[Order Time]]</f>
        <v>4.5833333333333393E-2</v>
      </c>
      <c r="L1068" s="43">
        <v>66</v>
      </c>
      <c r="M1068" s="25" t="s">
        <v>11</v>
      </c>
      <c r="N1068" s="28" t="s">
        <v>25</v>
      </c>
      <c r="O1068" s="28" t="s">
        <v>39</v>
      </c>
      <c r="P1068" s="25" t="s">
        <v>20</v>
      </c>
    </row>
    <row r="1069" spans="1:16" x14ac:dyDescent="0.25">
      <c r="A1069" s="23">
        <f t="shared" si="68"/>
        <v>1068</v>
      </c>
      <c r="B1069" s="24">
        <v>43303</v>
      </c>
      <c r="C1069" s="18" t="str">
        <f t="shared" si="65"/>
        <v>Sunday</v>
      </c>
      <c r="D1069" s="10" t="str">
        <f t="shared" si="66"/>
        <v>Different</v>
      </c>
      <c r="E1069" s="2">
        <v>49.09</v>
      </c>
      <c r="F1069" s="2">
        <v>4</v>
      </c>
      <c r="G1069" s="1">
        <f t="shared" si="67"/>
        <v>8.1482990425748622E-2</v>
      </c>
      <c r="H1069" s="2">
        <v>1.5</v>
      </c>
      <c r="I1069" s="26">
        <v>0.71458333333333324</v>
      </c>
      <c r="J1069" s="26">
        <v>0.73402777777777783</v>
      </c>
      <c r="K1069" s="27">
        <f>Table3[[#This Row],[Delivery Time]]-Table3[[#This Row],[Order Time]]</f>
        <v>1.9444444444444597E-2</v>
      </c>
      <c r="L1069" s="43">
        <v>28</v>
      </c>
      <c r="M1069" s="25" t="s">
        <v>0</v>
      </c>
      <c r="N1069" s="28"/>
      <c r="O1069" s="28" t="s">
        <v>41</v>
      </c>
      <c r="P1069" s="25" t="s">
        <v>20</v>
      </c>
    </row>
    <row r="1070" spans="1:16" x14ac:dyDescent="0.25">
      <c r="A1070" s="23">
        <f t="shared" si="68"/>
        <v>1069</v>
      </c>
      <c r="B1070" s="24">
        <v>43303</v>
      </c>
      <c r="C1070" s="18" t="str">
        <f t="shared" si="65"/>
        <v>Sunday</v>
      </c>
      <c r="D1070" s="10" t="str">
        <f t="shared" si="66"/>
        <v>Same</v>
      </c>
      <c r="E1070" s="2">
        <v>23.76</v>
      </c>
      <c r="F1070" s="2">
        <v>6.24</v>
      </c>
      <c r="G1070" s="1">
        <f t="shared" si="67"/>
        <v>0.2626262626262626</v>
      </c>
      <c r="H1070" s="2">
        <v>1.5</v>
      </c>
      <c r="I1070" s="26">
        <v>0.7416666666666667</v>
      </c>
      <c r="J1070" s="26">
        <v>0.75902777777777775</v>
      </c>
      <c r="K1070" s="27">
        <f>Table3[[#This Row],[Delivery Time]]-Table3[[#This Row],[Order Time]]</f>
        <v>1.7361111111111049E-2</v>
      </c>
      <c r="L1070" s="43">
        <v>25</v>
      </c>
      <c r="M1070" s="25" t="s">
        <v>0</v>
      </c>
      <c r="N1070" s="28"/>
      <c r="O1070" s="28" t="s">
        <v>39</v>
      </c>
      <c r="P1070" s="25" t="s">
        <v>20</v>
      </c>
    </row>
    <row r="1071" spans="1:16" x14ac:dyDescent="0.25">
      <c r="A1071" s="23">
        <f t="shared" si="68"/>
        <v>1070</v>
      </c>
      <c r="B1071" s="24">
        <v>43303</v>
      </c>
      <c r="C1071" s="18" t="str">
        <f t="shared" si="65"/>
        <v>Sunday</v>
      </c>
      <c r="D1071" s="10" t="str">
        <f t="shared" si="66"/>
        <v>Same</v>
      </c>
      <c r="E1071" s="2">
        <v>28.36</v>
      </c>
      <c r="F1071" s="2">
        <v>5</v>
      </c>
      <c r="G1071" s="1">
        <f t="shared" si="67"/>
        <v>0.1763046544428773</v>
      </c>
      <c r="H1071" s="2">
        <v>1.5</v>
      </c>
      <c r="I1071" s="26">
        <v>0.75416666666666676</v>
      </c>
      <c r="J1071" s="26">
        <v>0.77638888888888891</v>
      </c>
      <c r="K1071" s="27">
        <f>Table3[[#This Row],[Delivery Time]]-Table3[[#This Row],[Order Time]]</f>
        <v>2.2222222222222143E-2</v>
      </c>
      <c r="L1071" s="43">
        <v>32</v>
      </c>
      <c r="M1071" s="25" t="s">
        <v>0</v>
      </c>
      <c r="N1071" s="28"/>
      <c r="O1071" s="28" t="s">
        <v>39</v>
      </c>
      <c r="P1071" s="25" t="s">
        <v>20</v>
      </c>
    </row>
    <row r="1072" spans="1:16" x14ac:dyDescent="0.25">
      <c r="A1072" s="23">
        <f t="shared" si="68"/>
        <v>1071</v>
      </c>
      <c r="B1072" s="24">
        <v>43303</v>
      </c>
      <c r="C1072" s="18" t="str">
        <f t="shared" si="65"/>
        <v>Sunday</v>
      </c>
      <c r="D1072" s="10" t="str">
        <f t="shared" si="66"/>
        <v>Same</v>
      </c>
      <c r="E1072" s="2">
        <v>34.32</v>
      </c>
      <c r="F1072" s="2">
        <v>6</v>
      </c>
      <c r="G1072" s="1">
        <f t="shared" si="67"/>
        <v>0.17482517482517482</v>
      </c>
      <c r="H1072" s="2">
        <v>1.5</v>
      </c>
      <c r="I1072" s="26">
        <v>0.78680555555555554</v>
      </c>
      <c r="J1072" s="26">
        <v>0.80486111111111114</v>
      </c>
      <c r="K1072" s="27">
        <f>Table3[[#This Row],[Delivery Time]]-Table3[[#This Row],[Order Time]]</f>
        <v>1.8055555555555602E-2</v>
      </c>
      <c r="L1072" s="43">
        <v>26</v>
      </c>
      <c r="M1072" s="25" t="s">
        <v>11</v>
      </c>
      <c r="N1072" s="28"/>
      <c r="O1072" s="28" t="s">
        <v>41</v>
      </c>
      <c r="P1072" s="25" t="s">
        <v>20</v>
      </c>
    </row>
    <row r="1073" spans="1:16" x14ac:dyDescent="0.25">
      <c r="A1073" s="23">
        <f t="shared" si="68"/>
        <v>1072</v>
      </c>
      <c r="B1073" s="24">
        <v>43303</v>
      </c>
      <c r="C1073" s="18" t="str">
        <f t="shared" si="65"/>
        <v>Sunday</v>
      </c>
      <c r="D1073" s="10" t="str">
        <f t="shared" si="66"/>
        <v>Same</v>
      </c>
      <c r="E1073" s="2">
        <v>28.69</v>
      </c>
      <c r="F1073" s="2">
        <v>7.31</v>
      </c>
      <c r="G1073" s="1">
        <f t="shared" si="67"/>
        <v>0.25479261066573716</v>
      </c>
      <c r="H1073" s="2">
        <v>1.5</v>
      </c>
      <c r="I1073" s="26">
        <v>0.78749999999999998</v>
      </c>
      <c r="J1073" s="26">
        <v>0.81527777777777777</v>
      </c>
      <c r="K1073" s="27">
        <f>Table3[[#This Row],[Delivery Time]]-Table3[[#This Row],[Order Time]]</f>
        <v>2.777777777777779E-2</v>
      </c>
      <c r="L1073" s="43">
        <v>40</v>
      </c>
      <c r="M1073" s="25" t="s">
        <v>11</v>
      </c>
      <c r="N1073" s="28"/>
      <c r="O1073" s="28" t="s">
        <v>39</v>
      </c>
      <c r="P1073" s="25" t="s">
        <v>20</v>
      </c>
    </row>
    <row r="1074" spans="1:16" x14ac:dyDescent="0.25">
      <c r="A1074" s="23">
        <f t="shared" si="68"/>
        <v>1073</v>
      </c>
      <c r="B1074" s="24">
        <v>43303</v>
      </c>
      <c r="C1074" s="18" t="str">
        <f t="shared" si="65"/>
        <v>Sunday</v>
      </c>
      <c r="D1074" s="10" t="str">
        <f t="shared" si="66"/>
        <v>Same</v>
      </c>
      <c r="E1074" s="2">
        <v>21.6</v>
      </c>
      <c r="F1074" s="2">
        <v>4.4000000000000004</v>
      </c>
      <c r="G1074" s="1">
        <f t="shared" si="67"/>
        <v>0.20370370370370372</v>
      </c>
      <c r="H1074" s="2">
        <v>1.5</v>
      </c>
      <c r="I1074" s="26">
        <v>0.79236111111111107</v>
      </c>
      <c r="J1074" s="26">
        <v>0.82291666666666663</v>
      </c>
      <c r="K1074" s="27">
        <f>Table3[[#This Row],[Delivery Time]]-Table3[[#This Row],[Order Time]]</f>
        <v>3.0555555555555558E-2</v>
      </c>
      <c r="L1074" s="43">
        <v>44</v>
      </c>
      <c r="M1074" s="25" t="s">
        <v>12</v>
      </c>
      <c r="N1074" s="28"/>
      <c r="O1074" s="28" t="s">
        <v>41</v>
      </c>
      <c r="P1074" s="25" t="s">
        <v>20</v>
      </c>
    </row>
    <row r="1075" spans="1:16" x14ac:dyDescent="0.25">
      <c r="A1075" s="23">
        <f t="shared" si="68"/>
        <v>1074</v>
      </c>
      <c r="B1075" s="24">
        <v>43303</v>
      </c>
      <c r="C1075" s="18" t="str">
        <f t="shared" si="65"/>
        <v>Sunday</v>
      </c>
      <c r="D1075" s="10" t="str">
        <f t="shared" si="66"/>
        <v>Same</v>
      </c>
      <c r="E1075" s="2">
        <v>33.56</v>
      </c>
      <c r="F1075" s="2">
        <v>3</v>
      </c>
      <c r="G1075" s="1">
        <f t="shared" si="67"/>
        <v>8.9392133492252682E-2</v>
      </c>
      <c r="H1075" s="2">
        <v>1.5</v>
      </c>
      <c r="I1075" s="26">
        <v>0.82291666666666663</v>
      </c>
      <c r="J1075" s="26">
        <v>0.8520833333333333</v>
      </c>
      <c r="K1075" s="27">
        <f>Table3[[#This Row],[Delivery Time]]-Table3[[#This Row],[Order Time]]</f>
        <v>2.9166666666666674E-2</v>
      </c>
      <c r="L1075" s="43">
        <v>42</v>
      </c>
      <c r="M1075" s="25" t="s">
        <v>11</v>
      </c>
      <c r="N1075" s="28"/>
      <c r="O1075" s="28" t="s">
        <v>39</v>
      </c>
      <c r="P1075" s="25" t="s">
        <v>20</v>
      </c>
    </row>
    <row r="1076" spans="1:16" x14ac:dyDescent="0.25">
      <c r="A1076" s="23">
        <f t="shared" si="68"/>
        <v>1075</v>
      </c>
      <c r="B1076" s="24">
        <v>43303</v>
      </c>
      <c r="C1076" s="18" t="str">
        <f t="shared" si="65"/>
        <v>Sunday</v>
      </c>
      <c r="D1076" s="10" t="str">
        <f t="shared" si="66"/>
        <v>Same</v>
      </c>
      <c r="E1076" s="2">
        <v>32.69</v>
      </c>
      <c r="F1076" s="2">
        <v>10</v>
      </c>
      <c r="G1076" s="1">
        <f t="shared" si="67"/>
        <v>0.30590394616090549</v>
      </c>
      <c r="H1076" s="2">
        <v>5</v>
      </c>
      <c r="I1076" s="26">
        <v>0.83472222222222225</v>
      </c>
      <c r="J1076" s="26">
        <v>0.86111111111111116</v>
      </c>
      <c r="K1076" s="27">
        <f>Table3[[#This Row],[Delivery Time]]-Table3[[#This Row],[Order Time]]</f>
        <v>2.6388888888888906E-2</v>
      </c>
      <c r="L1076" s="43">
        <v>38</v>
      </c>
      <c r="M1076" s="25" t="s">
        <v>36</v>
      </c>
      <c r="N1076" s="28"/>
      <c r="O1076" s="28" t="s">
        <v>39</v>
      </c>
      <c r="P1076" s="25" t="s">
        <v>20</v>
      </c>
    </row>
    <row r="1077" spans="1:16" x14ac:dyDescent="0.25">
      <c r="A1077" s="23">
        <f t="shared" si="68"/>
        <v>1076</v>
      </c>
      <c r="B1077" s="24">
        <v>43304</v>
      </c>
      <c r="C1077" s="18" t="str">
        <f t="shared" si="65"/>
        <v>Monday</v>
      </c>
      <c r="D1077" s="10" t="str">
        <f t="shared" si="66"/>
        <v>Different</v>
      </c>
      <c r="E1077" s="2">
        <v>38.1</v>
      </c>
      <c r="F1077" s="2">
        <v>10</v>
      </c>
      <c r="G1077" s="1">
        <f t="shared" si="67"/>
        <v>0.26246719160104987</v>
      </c>
      <c r="H1077" s="2">
        <v>5</v>
      </c>
      <c r="I1077" s="26">
        <v>0.74791666666666667</v>
      </c>
      <c r="J1077" s="26">
        <v>0.78333333333333333</v>
      </c>
      <c r="K1077" s="27">
        <f>Table3[[#This Row],[Delivery Time]]-Table3[[#This Row],[Order Time]]</f>
        <v>3.5416666666666652E-2</v>
      </c>
      <c r="L1077" s="43">
        <v>51</v>
      </c>
      <c r="M1077" s="25" t="s">
        <v>0</v>
      </c>
      <c r="N1077" s="28"/>
      <c r="O1077" s="28" t="s">
        <v>39</v>
      </c>
      <c r="P1077" s="25" t="s">
        <v>20</v>
      </c>
    </row>
    <row r="1078" spans="1:16" x14ac:dyDescent="0.25">
      <c r="A1078" s="23">
        <f t="shared" si="68"/>
        <v>1077</v>
      </c>
      <c r="B1078" s="24">
        <v>43304</v>
      </c>
      <c r="C1078" s="18" t="str">
        <f t="shared" si="65"/>
        <v>Monday</v>
      </c>
      <c r="D1078" s="10" t="str">
        <f t="shared" si="66"/>
        <v>Same</v>
      </c>
      <c r="E1078" s="2">
        <v>63.16</v>
      </c>
      <c r="F1078" s="2">
        <v>22.27</v>
      </c>
      <c r="G1078" s="1">
        <f t="shared" si="67"/>
        <v>0.35259658011399619</v>
      </c>
      <c r="H1078" s="2">
        <v>5</v>
      </c>
      <c r="I1078" s="26">
        <v>0.79166666666666663</v>
      </c>
      <c r="J1078" s="26">
        <v>0.79166666666666663</v>
      </c>
      <c r="K1078" s="27">
        <f>Table3[[#This Row],[Delivery Time]]-Table3[[#This Row],[Order Time]]</f>
        <v>0</v>
      </c>
      <c r="L1078" s="43">
        <v>0</v>
      </c>
      <c r="M1078" s="25" t="s">
        <v>0</v>
      </c>
      <c r="N1078" s="28"/>
      <c r="O1078" s="28" t="s">
        <v>39</v>
      </c>
      <c r="P1078" s="25" t="s">
        <v>20</v>
      </c>
    </row>
    <row r="1079" spans="1:16" x14ac:dyDescent="0.25">
      <c r="A1079" s="23">
        <f t="shared" si="68"/>
        <v>1078</v>
      </c>
      <c r="B1079" s="24">
        <v>43304</v>
      </c>
      <c r="C1079" s="18" t="str">
        <f t="shared" si="65"/>
        <v>Monday</v>
      </c>
      <c r="D1079" s="10" t="str">
        <f t="shared" si="66"/>
        <v>Same</v>
      </c>
      <c r="E1079" s="2">
        <v>61.7</v>
      </c>
      <c r="F1079" s="2">
        <v>9</v>
      </c>
      <c r="G1079" s="1">
        <f t="shared" si="67"/>
        <v>0.14586709886547811</v>
      </c>
      <c r="H1079" s="2">
        <v>1.5</v>
      </c>
      <c r="I1079" s="26">
        <v>0.78333333333333333</v>
      </c>
      <c r="J1079" s="26">
        <v>0.81805555555555554</v>
      </c>
      <c r="K1079" s="27">
        <f>Table3[[#This Row],[Delivery Time]]-Table3[[#This Row],[Order Time]]</f>
        <v>3.472222222222221E-2</v>
      </c>
      <c r="L1079" s="43">
        <v>50</v>
      </c>
      <c r="M1079" s="25" t="s">
        <v>12</v>
      </c>
      <c r="N1079" s="28"/>
      <c r="O1079" s="28" t="s">
        <v>39</v>
      </c>
      <c r="P1079" s="25" t="s">
        <v>20</v>
      </c>
    </row>
    <row r="1080" spans="1:16" x14ac:dyDescent="0.25">
      <c r="A1080" s="23">
        <f t="shared" si="68"/>
        <v>1079</v>
      </c>
      <c r="B1080" s="24">
        <v>43304</v>
      </c>
      <c r="C1080" s="18" t="str">
        <f t="shared" si="65"/>
        <v>Monday</v>
      </c>
      <c r="D1080" s="10" t="str">
        <f t="shared" si="66"/>
        <v>Same</v>
      </c>
      <c r="E1080" s="2">
        <v>32.42</v>
      </c>
      <c r="F1080" s="2">
        <v>3</v>
      </c>
      <c r="G1080" s="1">
        <f t="shared" si="67"/>
        <v>9.2535471930906846E-2</v>
      </c>
      <c r="H1080" s="2">
        <v>1.5</v>
      </c>
      <c r="I1080" s="26">
        <v>0.78472222222222221</v>
      </c>
      <c r="J1080" s="26">
        <v>0.8256944444444444</v>
      </c>
      <c r="K1080" s="27">
        <f>Table3[[#This Row],[Delivery Time]]-Table3[[#This Row],[Order Time]]</f>
        <v>4.0972222222222188E-2</v>
      </c>
      <c r="L1080" s="43">
        <v>59</v>
      </c>
      <c r="M1080" s="25" t="s">
        <v>11</v>
      </c>
      <c r="N1080" s="28"/>
      <c r="O1080" s="28" t="s">
        <v>39</v>
      </c>
      <c r="P1080" s="25" t="s">
        <v>20</v>
      </c>
    </row>
    <row r="1081" spans="1:16" x14ac:dyDescent="0.25">
      <c r="A1081" s="23">
        <f t="shared" si="68"/>
        <v>1080</v>
      </c>
      <c r="B1081" s="24">
        <v>43304</v>
      </c>
      <c r="C1081" s="18" t="str">
        <f t="shared" si="65"/>
        <v>Monday</v>
      </c>
      <c r="D1081" s="10" t="str">
        <f t="shared" si="66"/>
        <v>Same</v>
      </c>
      <c r="E1081" s="2">
        <v>64.790000000000006</v>
      </c>
      <c r="F1081" s="2">
        <v>5</v>
      </c>
      <c r="G1081" s="1">
        <f t="shared" si="67"/>
        <v>7.7172403148634036E-2</v>
      </c>
      <c r="H1081" s="2">
        <v>1.5</v>
      </c>
      <c r="I1081" s="26">
        <v>0.7993055555555556</v>
      </c>
      <c r="J1081" s="26">
        <v>0.84444444444444444</v>
      </c>
      <c r="K1081" s="27">
        <f>Table3[[#This Row],[Delivery Time]]-Table3[[#This Row],[Order Time]]</f>
        <v>4.513888888888884E-2</v>
      </c>
      <c r="L1081" s="43">
        <v>65</v>
      </c>
      <c r="M1081" s="25" t="s">
        <v>0</v>
      </c>
      <c r="N1081" s="28"/>
      <c r="O1081" s="28" t="s">
        <v>39</v>
      </c>
      <c r="P1081" s="25" t="s">
        <v>20</v>
      </c>
    </row>
    <row r="1082" spans="1:16" x14ac:dyDescent="0.25">
      <c r="A1082" s="23">
        <f t="shared" si="68"/>
        <v>1081</v>
      </c>
      <c r="B1082" s="24">
        <v>43304</v>
      </c>
      <c r="C1082" s="18" t="str">
        <f t="shared" si="65"/>
        <v>Monday</v>
      </c>
      <c r="D1082" s="10" t="str">
        <f t="shared" si="66"/>
        <v>Same</v>
      </c>
      <c r="E1082" s="2">
        <v>12.44</v>
      </c>
      <c r="F1082" s="2">
        <v>4.5599999999999996</v>
      </c>
      <c r="G1082" s="1">
        <f t="shared" si="67"/>
        <v>0.36655948553054662</v>
      </c>
      <c r="H1082" s="2">
        <v>1.5</v>
      </c>
      <c r="I1082" s="26">
        <v>0.84236111111111101</v>
      </c>
      <c r="J1082" s="26">
        <v>0.8652777777777777</v>
      </c>
      <c r="K1082" s="27">
        <f>Table3[[#This Row],[Delivery Time]]-Table3[[#This Row],[Order Time]]</f>
        <v>2.2916666666666696E-2</v>
      </c>
      <c r="L1082" s="43">
        <v>33</v>
      </c>
      <c r="M1082" s="25" t="s">
        <v>12</v>
      </c>
      <c r="N1082" s="28"/>
      <c r="O1082" s="28" t="s">
        <v>41</v>
      </c>
      <c r="P1082" s="25" t="s">
        <v>20</v>
      </c>
    </row>
    <row r="1083" spans="1:16" x14ac:dyDescent="0.25">
      <c r="A1083" s="23">
        <f t="shared" si="68"/>
        <v>1082</v>
      </c>
      <c r="B1083" s="24">
        <v>43308</v>
      </c>
      <c r="C1083" s="18" t="str">
        <f t="shared" si="65"/>
        <v>Friday</v>
      </c>
      <c r="D1083" s="10" t="str">
        <f t="shared" si="66"/>
        <v>Different</v>
      </c>
      <c r="E1083" s="2">
        <v>53.75</v>
      </c>
      <c r="F1083" s="2">
        <v>5</v>
      </c>
      <c r="G1083" s="1">
        <f t="shared" si="67"/>
        <v>9.3023255813953487E-2</v>
      </c>
      <c r="H1083" s="2">
        <v>5</v>
      </c>
      <c r="I1083" s="26">
        <v>0.74305555555555547</v>
      </c>
      <c r="J1083" s="26">
        <v>0.76250000000000007</v>
      </c>
      <c r="K1083" s="27">
        <f>Table3[[#This Row],[Delivery Time]]-Table3[[#This Row],[Order Time]]</f>
        <v>1.9444444444444597E-2</v>
      </c>
      <c r="L1083" s="43">
        <v>28</v>
      </c>
      <c r="M1083" s="25" t="s">
        <v>0</v>
      </c>
      <c r="N1083" s="28"/>
      <c r="O1083" s="28" t="s">
        <v>39</v>
      </c>
      <c r="P1083" s="25" t="s">
        <v>20</v>
      </c>
    </row>
    <row r="1084" spans="1:16" x14ac:dyDescent="0.25">
      <c r="A1084" s="23">
        <f t="shared" si="68"/>
        <v>1083</v>
      </c>
      <c r="B1084" s="24">
        <v>43308</v>
      </c>
      <c r="C1084" s="18" t="str">
        <f t="shared" si="65"/>
        <v>Friday</v>
      </c>
      <c r="D1084" s="10" t="str">
        <f t="shared" si="66"/>
        <v>Same</v>
      </c>
      <c r="E1084" s="2">
        <v>30.26</v>
      </c>
      <c r="F1084" s="2">
        <v>5</v>
      </c>
      <c r="G1084" s="1">
        <f t="shared" si="67"/>
        <v>0.16523463317911433</v>
      </c>
      <c r="H1084" s="2">
        <v>1.5</v>
      </c>
      <c r="I1084" s="26">
        <v>0.78055555555555556</v>
      </c>
      <c r="J1084" s="26">
        <v>0.79861111111111116</v>
      </c>
      <c r="K1084" s="27">
        <f>Table3[[#This Row],[Delivery Time]]-Table3[[#This Row],[Order Time]]</f>
        <v>1.8055555555555602E-2</v>
      </c>
      <c r="L1084" s="43">
        <v>26</v>
      </c>
      <c r="M1084" s="25" t="s">
        <v>0</v>
      </c>
      <c r="N1084" s="28"/>
      <c r="O1084" s="28" t="s">
        <v>39</v>
      </c>
      <c r="P1084" s="25" t="s">
        <v>20</v>
      </c>
    </row>
    <row r="1085" spans="1:16" x14ac:dyDescent="0.25">
      <c r="A1085" s="23">
        <f t="shared" si="68"/>
        <v>1084</v>
      </c>
      <c r="B1085" s="24">
        <v>43309</v>
      </c>
      <c r="C1085" s="18" t="str">
        <f t="shared" si="65"/>
        <v>Saturday</v>
      </c>
      <c r="D1085" s="10" t="str">
        <f t="shared" si="66"/>
        <v>Different</v>
      </c>
      <c r="E1085" s="2">
        <v>16.510000000000002</v>
      </c>
      <c r="F1085" s="2">
        <v>2</v>
      </c>
      <c r="G1085" s="1">
        <f t="shared" si="67"/>
        <v>0.12113870381586916</v>
      </c>
      <c r="H1085" s="2">
        <v>5</v>
      </c>
      <c r="I1085" s="26">
        <v>0.7416666666666667</v>
      </c>
      <c r="J1085" s="26">
        <v>0.76874999999999993</v>
      </c>
      <c r="K1085" s="27">
        <f>Table3[[#This Row],[Delivery Time]]-Table3[[#This Row],[Order Time]]</f>
        <v>2.7083333333333237E-2</v>
      </c>
      <c r="L1085" s="43">
        <v>39</v>
      </c>
      <c r="M1085" s="25" t="s">
        <v>0</v>
      </c>
      <c r="N1085" s="28"/>
      <c r="O1085" s="28" t="s">
        <v>39</v>
      </c>
      <c r="P1085" s="25" t="s">
        <v>20</v>
      </c>
    </row>
    <row r="1086" spans="1:16" x14ac:dyDescent="0.25">
      <c r="A1086" s="23">
        <f t="shared" si="68"/>
        <v>1085</v>
      </c>
      <c r="B1086" s="24">
        <v>43309</v>
      </c>
      <c r="C1086" s="18" t="str">
        <f t="shared" si="65"/>
        <v>Saturday</v>
      </c>
      <c r="D1086" s="10" t="str">
        <f t="shared" si="66"/>
        <v>Same</v>
      </c>
      <c r="E1086" s="2">
        <v>19.7</v>
      </c>
      <c r="F1086" s="2">
        <v>5.3</v>
      </c>
      <c r="G1086" s="1">
        <f t="shared" si="67"/>
        <v>0.26903553299492383</v>
      </c>
      <c r="H1086" s="2">
        <v>1.5</v>
      </c>
      <c r="I1086" s="26">
        <v>0.80902777777777779</v>
      </c>
      <c r="J1086" s="26">
        <v>0.82291666666666663</v>
      </c>
      <c r="K1086" s="27">
        <f>Table3[[#This Row],[Delivery Time]]-Table3[[#This Row],[Order Time]]</f>
        <v>1.388888888888884E-2</v>
      </c>
      <c r="L1086" s="43">
        <v>20</v>
      </c>
      <c r="M1086" s="25" t="s">
        <v>0</v>
      </c>
      <c r="N1086" s="28"/>
      <c r="O1086" s="28" t="s">
        <v>39</v>
      </c>
      <c r="P1086" s="25" t="s">
        <v>20</v>
      </c>
    </row>
    <row r="1087" spans="1:16" x14ac:dyDescent="0.25">
      <c r="A1087" s="23">
        <f t="shared" si="68"/>
        <v>1086</v>
      </c>
      <c r="B1087" s="24">
        <v>43309</v>
      </c>
      <c r="C1087" s="18" t="str">
        <f t="shared" si="65"/>
        <v>Saturday</v>
      </c>
      <c r="D1087" s="10" t="str">
        <f t="shared" si="66"/>
        <v>Same</v>
      </c>
      <c r="E1087" s="2">
        <v>41.62</v>
      </c>
      <c r="F1087" s="2">
        <v>8</v>
      </c>
      <c r="G1087" s="1">
        <f t="shared" si="67"/>
        <v>0.19221528111484865</v>
      </c>
      <c r="H1087" s="2">
        <v>1.5</v>
      </c>
      <c r="I1087" s="26">
        <v>0.83333333333333337</v>
      </c>
      <c r="J1087" s="26">
        <v>0.86041666666666661</v>
      </c>
      <c r="K1087" s="27">
        <f>Table3[[#This Row],[Delivery Time]]-Table3[[#This Row],[Order Time]]</f>
        <v>2.7083333333333237E-2</v>
      </c>
      <c r="L1087" s="43">
        <v>39</v>
      </c>
      <c r="M1087" s="25" t="s">
        <v>0</v>
      </c>
      <c r="N1087" s="28"/>
      <c r="O1087" s="28" t="s">
        <v>39</v>
      </c>
      <c r="P1087" s="25" t="s">
        <v>20</v>
      </c>
    </row>
    <row r="1088" spans="1:16" x14ac:dyDescent="0.25">
      <c r="A1088" s="23">
        <f t="shared" si="68"/>
        <v>1087</v>
      </c>
      <c r="B1088" s="24">
        <v>43309</v>
      </c>
      <c r="C1088" s="18" t="str">
        <f t="shared" si="65"/>
        <v>Saturday</v>
      </c>
      <c r="D1088" s="10" t="str">
        <f t="shared" si="66"/>
        <v>Same</v>
      </c>
      <c r="E1088" s="2">
        <v>22.41</v>
      </c>
      <c r="F1088" s="2">
        <v>4.59</v>
      </c>
      <c r="G1088" s="1">
        <f t="shared" si="67"/>
        <v>0.20481927710843373</v>
      </c>
      <c r="H1088" s="2">
        <v>1.5</v>
      </c>
      <c r="I1088" s="26">
        <v>0.84097222222222223</v>
      </c>
      <c r="J1088" s="26">
        <v>0.86597222222222225</v>
      </c>
      <c r="K1088" s="27">
        <f>Table3[[#This Row],[Delivery Time]]-Table3[[#This Row],[Order Time]]</f>
        <v>2.5000000000000022E-2</v>
      </c>
      <c r="L1088" s="43">
        <v>36</v>
      </c>
      <c r="M1088" s="25" t="s">
        <v>0</v>
      </c>
      <c r="N1088" s="28"/>
      <c r="O1088" s="28" t="s">
        <v>39</v>
      </c>
      <c r="P1088" s="25" t="s">
        <v>20</v>
      </c>
    </row>
    <row r="1089" spans="1:16" x14ac:dyDescent="0.25">
      <c r="A1089" s="23">
        <f t="shared" si="68"/>
        <v>1088</v>
      </c>
      <c r="B1089" s="24">
        <v>43310</v>
      </c>
      <c r="C1089" s="18" t="str">
        <f t="shared" si="65"/>
        <v>Sunday</v>
      </c>
      <c r="D1089" s="10" t="str">
        <f t="shared" si="66"/>
        <v>Different</v>
      </c>
      <c r="E1089" s="2">
        <v>37.51</v>
      </c>
      <c r="F1089" s="2">
        <v>5</v>
      </c>
      <c r="G1089" s="1">
        <f t="shared" si="67"/>
        <v>0.13329778725673155</v>
      </c>
      <c r="H1089" s="2">
        <v>1.5</v>
      </c>
      <c r="I1089" s="26">
        <v>0.74652777777777779</v>
      </c>
      <c r="J1089" s="26">
        <v>0.7680555555555556</v>
      </c>
      <c r="K1089" s="27">
        <f>Table3[[#This Row],[Delivery Time]]-Table3[[#This Row],[Order Time]]</f>
        <v>2.1527777777777812E-2</v>
      </c>
      <c r="L1089" s="43">
        <v>31.000000000000004</v>
      </c>
      <c r="M1089" s="25" t="s">
        <v>11</v>
      </c>
      <c r="N1089" s="28"/>
      <c r="O1089" s="28" t="s">
        <v>39</v>
      </c>
      <c r="P1089" s="25" t="s">
        <v>20</v>
      </c>
    </row>
    <row r="1090" spans="1:16" x14ac:dyDescent="0.25">
      <c r="A1090" s="23">
        <f t="shared" si="68"/>
        <v>1089</v>
      </c>
      <c r="B1090" s="24">
        <v>43310</v>
      </c>
      <c r="C1090" s="18" t="str">
        <f t="shared" si="65"/>
        <v>Sunday</v>
      </c>
      <c r="D1090" s="10" t="str">
        <f t="shared" si="66"/>
        <v>Same</v>
      </c>
      <c r="E1090" s="2">
        <v>39.51</v>
      </c>
      <c r="F1090" s="2">
        <v>5</v>
      </c>
      <c r="G1090" s="1">
        <f t="shared" si="67"/>
        <v>0.12655024044545685</v>
      </c>
      <c r="H1090" s="2">
        <v>1.5</v>
      </c>
      <c r="I1090" s="26">
        <v>0.77708333333333324</v>
      </c>
      <c r="J1090" s="26">
        <v>0.80069444444444438</v>
      </c>
      <c r="K1090" s="27">
        <f>Table3[[#This Row],[Delivery Time]]-Table3[[#This Row],[Order Time]]</f>
        <v>2.3611111111111138E-2</v>
      </c>
      <c r="L1090" s="43">
        <v>34</v>
      </c>
      <c r="M1090" s="25" t="s">
        <v>0</v>
      </c>
      <c r="N1090" s="28"/>
      <c r="O1090" s="28" t="s">
        <v>39</v>
      </c>
      <c r="P1090" s="25" t="s">
        <v>20</v>
      </c>
    </row>
    <row r="1091" spans="1:16" x14ac:dyDescent="0.25">
      <c r="A1091" s="23">
        <f t="shared" si="68"/>
        <v>1090</v>
      </c>
      <c r="B1091" s="24">
        <v>43310</v>
      </c>
      <c r="C1091" s="18" t="str">
        <f t="shared" si="65"/>
        <v>Sunday</v>
      </c>
      <c r="D1091" s="10" t="str">
        <f t="shared" si="66"/>
        <v>Same</v>
      </c>
      <c r="E1091" s="2">
        <v>26.47</v>
      </c>
      <c r="F1091" s="2">
        <v>5</v>
      </c>
      <c r="G1091" s="1">
        <f t="shared" si="67"/>
        <v>0.18889308651303363</v>
      </c>
      <c r="H1091" s="2">
        <v>1.5</v>
      </c>
      <c r="I1091" s="26">
        <v>0.81736111111111109</v>
      </c>
      <c r="J1091" s="26">
        <v>0.83472222222222225</v>
      </c>
      <c r="K1091" s="27">
        <f>Table3[[#This Row],[Delivery Time]]-Table3[[#This Row],[Order Time]]</f>
        <v>1.736111111111116E-2</v>
      </c>
      <c r="L1091" s="43">
        <v>25</v>
      </c>
      <c r="M1091" s="25" t="s">
        <v>11</v>
      </c>
      <c r="N1091" s="28"/>
      <c r="O1091" s="28" t="s">
        <v>39</v>
      </c>
      <c r="P1091" s="25" t="s">
        <v>20</v>
      </c>
    </row>
    <row r="1092" spans="1:16" x14ac:dyDescent="0.25">
      <c r="A1092" s="23">
        <f t="shared" si="68"/>
        <v>1091</v>
      </c>
      <c r="B1092" s="24">
        <v>43315</v>
      </c>
      <c r="C1092" s="18" t="str">
        <f t="shared" si="65"/>
        <v>Friday</v>
      </c>
      <c r="D1092" s="10" t="str">
        <f t="shared" si="66"/>
        <v>Different</v>
      </c>
      <c r="E1092" s="2">
        <v>45.09</v>
      </c>
      <c r="F1092" s="2">
        <v>4</v>
      </c>
      <c r="G1092" s="1">
        <f t="shared" si="67"/>
        <v>8.8711465956974933E-2</v>
      </c>
      <c r="H1092" s="2">
        <v>5</v>
      </c>
      <c r="I1092" s="26">
        <v>0.71666666666666667</v>
      </c>
      <c r="J1092" s="26">
        <v>0.7416666666666667</v>
      </c>
      <c r="K1092" s="27">
        <f>Table3[[#This Row],[Delivery Time]]-Table3[[#This Row],[Order Time]]</f>
        <v>2.5000000000000022E-2</v>
      </c>
      <c r="L1092" s="43">
        <v>36</v>
      </c>
      <c r="M1092" s="25" t="s">
        <v>0</v>
      </c>
      <c r="N1092" s="28"/>
      <c r="O1092" s="28" t="s">
        <v>39</v>
      </c>
      <c r="P1092" s="25" t="s">
        <v>20</v>
      </c>
    </row>
    <row r="1093" spans="1:16" x14ac:dyDescent="0.25">
      <c r="A1093" s="23">
        <f t="shared" si="68"/>
        <v>1092</v>
      </c>
      <c r="B1093" s="24">
        <v>43315</v>
      </c>
      <c r="C1093" s="18" t="str">
        <f t="shared" si="65"/>
        <v>Friday</v>
      </c>
      <c r="D1093" s="10" t="str">
        <f t="shared" si="66"/>
        <v>Same</v>
      </c>
      <c r="E1093" s="2">
        <v>46.44</v>
      </c>
      <c r="F1093" s="2">
        <v>10</v>
      </c>
      <c r="G1093" s="1">
        <f t="shared" si="67"/>
        <v>0.2153316106804479</v>
      </c>
      <c r="H1093" s="2">
        <v>5</v>
      </c>
      <c r="I1093" s="26">
        <v>0.72013888888888899</v>
      </c>
      <c r="J1093" s="26">
        <v>0.75277777777777777</v>
      </c>
      <c r="K1093" s="27">
        <f>Table3[[#This Row],[Delivery Time]]-Table3[[#This Row],[Order Time]]</f>
        <v>3.2638888888888773E-2</v>
      </c>
      <c r="L1093" s="43">
        <v>47.000000000000007</v>
      </c>
      <c r="M1093" s="25" t="s">
        <v>12</v>
      </c>
      <c r="N1093" s="28"/>
      <c r="O1093" s="28" t="s">
        <v>39</v>
      </c>
      <c r="P1093" s="25" t="s">
        <v>20</v>
      </c>
    </row>
    <row r="1094" spans="1:16" x14ac:dyDescent="0.25">
      <c r="A1094" s="23">
        <f t="shared" si="68"/>
        <v>1093</v>
      </c>
      <c r="B1094" s="24">
        <v>43315</v>
      </c>
      <c r="C1094" s="18" t="str">
        <f t="shared" ref="C1094:C1157" si="69">TEXT(B1094,"dddd")</f>
        <v>Friday</v>
      </c>
      <c r="D1094" s="10" t="str">
        <f t="shared" ref="D1094:D1157" si="70">IF(B1093=B1094, "Same", "Different")</f>
        <v>Same</v>
      </c>
      <c r="E1094" s="2">
        <v>30.26</v>
      </c>
      <c r="F1094" s="2">
        <v>6</v>
      </c>
      <c r="G1094" s="1">
        <f t="shared" ref="G1094:G1157" si="71">F1094/E1094</f>
        <v>0.1982815598149372</v>
      </c>
      <c r="H1094" s="2">
        <v>5</v>
      </c>
      <c r="I1094" s="26">
        <v>0.79652777777777783</v>
      </c>
      <c r="J1094" s="26">
        <v>0.8208333333333333</v>
      </c>
      <c r="K1094" s="27">
        <f>Table3[[#This Row],[Delivery Time]]-Table3[[#This Row],[Order Time]]</f>
        <v>2.4305555555555469E-2</v>
      </c>
      <c r="L1094" s="43">
        <v>35</v>
      </c>
      <c r="M1094" s="25" t="s">
        <v>0</v>
      </c>
      <c r="N1094" s="28"/>
      <c r="O1094" s="28" t="s">
        <v>39</v>
      </c>
      <c r="P1094" s="25" t="s">
        <v>20</v>
      </c>
    </row>
    <row r="1095" spans="1:16" x14ac:dyDescent="0.25">
      <c r="A1095" s="23">
        <f t="shared" si="68"/>
        <v>1094</v>
      </c>
      <c r="B1095" s="24">
        <v>43315</v>
      </c>
      <c r="C1095" s="18" t="str">
        <f t="shared" si="69"/>
        <v>Friday</v>
      </c>
      <c r="D1095" s="10" t="str">
        <f t="shared" si="70"/>
        <v>Same</v>
      </c>
      <c r="E1095" s="2">
        <v>36.21</v>
      </c>
      <c r="F1095" s="2">
        <v>4</v>
      </c>
      <c r="G1095" s="1">
        <f t="shared" si="71"/>
        <v>0.11046672190002761</v>
      </c>
      <c r="H1095" s="2">
        <v>1.5</v>
      </c>
      <c r="I1095" s="26">
        <v>0.79791666666666661</v>
      </c>
      <c r="J1095" s="26">
        <v>0.83263888888888893</v>
      </c>
      <c r="K1095" s="27">
        <f>Table3[[#This Row],[Delivery Time]]-Table3[[#This Row],[Order Time]]</f>
        <v>3.4722222222222321E-2</v>
      </c>
      <c r="L1095" s="43">
        <v>50</v>
      </c>
      <c r="M1095" s="25" t="s">
        <v>0</v>
      </c>
      <c r="N1095" s="28"/>
      <c r="O1095" s="28" t="s">
        <v>41</v>
      </c>
      <c r="P1095" s="25" t="s">
        <v>20</v>
      </c>
    </row>
    <row r="1096" spans="1:16" x14ac:dyDescent="0.25">
      <c r="A1096" s="23">
        <f t="shared" si="68"/>
        <v>1095</v>
      </c>
      <c r="B1096" s="24">
        <v>43316</v>
      </c>
      <c r="C1096" s="18" t="str">
        <f t="shared" si="69"/>
        <v>Saturday</v>
      </c>
      <c r="D1096" s="10" t="str">
        <f t="shared" si="70"/>
        <v>Different</v>
      </c>
      <c r="E1096" s="2">
        <v>41.84</v>
      </c>
      <c r="F1096" s="2">
        <v>6</v>
      </c>
      <c r="G1096" s="1">
        <f t="shared" si="71"/>
        <v>0.14340344168260036</v>
      </c>
      <c r="H1096" s="2">
        <v>1.5</v>
      </c>
      <c r="I1096" s="26">
        <v>0.75138888888888899</v>
      </c>
      <c r="J1096" s="26">
        <v>0.77083333333333337</v>
      </c>
      <c r="K1096" s="27">
        <f>Table3[[#This Row],[Delivery Time]]-Table3[[#This Row],[Order Time]]</f>
        <v>1.9444444444444375E-2</v>
      </c>
      <c r="L1096" s="43">
        <v>28</v>
      </c>
      <c r="M1096" s="25" t="s">
        <v>11</v>
      </c>
      <c r="N1096" s="28"/>
      <c r="O1096" s="28" t="s">
        <v>39</v>
      </c>
      <c r="P1096" s="25" t="s">
        <v>20</v>
      </c>
    </row>
    <row r="1097" spans="1:16" x14ac:dyDescent="0.25">
      <c r="A1097" s="23">
        <f t="shared" si="68"/>
        <v>1096</v>
      </c>
      <c r="B1097" s="24">
        <v>43316</v>
      </c>
      <c r="C1097" s="18" t="str">
        <f t="shared" si="69"/>
        <v>Saturday</v>
      </c>
      <c r="D1097" s="10" t="str">
        <f t="shared" si="70"/>
        <v>Same</v>
      </c>
      <c r="E1097" s="2">
        <v>56.18</v>
      </c>
      <c r="F1097" s="2">
        <v>4</v>
      </c>
      <c r="G1097" s="1">
        <f t="shared" si="71"/>
        <v>7.1199715201139199E-2</v>
      </c>
      <c r="H1097" s="2">
        <v>1.5</v>
      </c>
      <c r="I1097" s="26">
        <v>0.78055555555555556</v>
      </c>
      <c r="J1097" s="26">
        <v>0.80972222222222223</v>
      </c>
      <c r="K1097" s="27">
        <f>Table3[[#This Row],[Delivery Time]]-Table3[[#This Row],[Order Time]]</f>
        <v>2.9166666666666674E-2</v>
      </c>
      <c r="L1097" s="43">
        <v>42</v>
      </c>
      <c r="M1097" s="25" t="s">
        <v>12</v>
      </c>
      <c r="N1097" s="28"/>
      <c r="O1097" s="28" t="s">
        <v>41</v>
      </c>
      <c r="P1097" s="25" t="s">
        <v>20</v>
      </c>
    </row>
    <row r="1098" spans="1:16" x14ac:dyDescent="0.25">
      <c r="A1098" s="23">
        <f t="shared" si="68"/>
        <v>1097</v>
      </c>
      <c r="B1098" s="24">
        <v>43316</v>
      </c>
      <c r="C1098" s="18" t="str">
        <f t="shared" si="69"/>
        <v>Saturday</v>
      </c>
      <c r="D1098" s="10" t="str">
        <f t="shared" si="70"/>
        <v>Same</v>
      </c>
      <c r="E1098" s="2">
        <v>22.41</v>
      </c>
      <c r="F1098" s="2">
        <v>5</v>
      </c>
      <c r="G1098" s="1">
        <f t="shared" si="71"/>
        <v>0.22311468094600626</v>
      </c>
      <c r="H1098" s="2">
        <v>1.5</v>
      </c>
      <c r="I1098" s="26">
        <v>0.78819444444444453</v>
      </c>
      <c r="J1098" s="26">
        <v>0.81944444444444453</v>
      </c>
      <c r="K1098" s="27">
        <f>Table3[[#This Row],[Delivery Time]]-Table3[[#This Row],[Order Time]]</f>
        <v>3.125E-2</v>
      </c>
      <c r="L1098" s="43">
        <v>45</v>
      </c>
      <c r="M1098" s="25" t="s">
        <v>0</v>
      </c>
      <c r="N1098" s="28" t="s">
        <v>25</v>
      </c>
      <c r="O1098" s="28" t="s">
        <v>39</v>
      </c>
      <c r="P1098" s="25" t="s">
        <v>20</v>
      </c>
    </row>
    <row r="1099" spans="1:16" x14ac:dyDescent="0.25">
      <c r="A1099" s="23">
        <f t="shared" si="68"/>
        <v>1098</v>
      </c>
      <c r="B1099" s="24">
        <v>43316</v>
      </c>
      <c r="C1099" s="18" t="str">
        <f t="shared" si="69"/>
        <v>Saturday</v>
      </c>
      <c r="D1099" s="10" t="str">
        <f t="shared" si="70"/>
        <v>Same</v>
      </c>
      <c r="E1099" s="2">
        <v>51.85</v>
      </c>
      <c r="F1099" s="2">
        <v>6</v>
      </c>
      <c r="G1099" s="1">
        <f t="shared" si="71"/>
        <v>0.11571841851494696</v>
      </c>
      <c r="H1099" s="2">
        <v>1.5</v>
      </c>
      <c r="I1099" s="26">
        <v>0.82708333333333339</v>
      </c>
      <c r="J1099" s="26">
        <v>0.85486111111111107</v>
      </c>
      <c r="K1099" s="27">
        <f>Table3[[#This Row],[Delivery Time]]-Table3[[#This Row],[Order Time]]</f>
        <v>2.7777777777777679E-2</v>
      </c>
      <c r="L1099" s="43">
        <v>40</v>
      </c>
      <c r="M1099" s="25" t="s">
        <v>12</v>
      </c>
      <c r="N1099" s="28"/>
      <c r="O1099" s="28" t="s">
        <v>39</v>
      </c>
      <c r="P1099" s="25" t="s">
        <v>20</v>
      </c>
    </row>
    <row r="1100" spans="1:16" x14ac:dyDescent="0.25">
      <c r="A1100" s="23">
        <f t="shared" si="68"/>
        <v>1099</v>
      </c>
      <c r="B1100" s="24">
        <v>43316</v>
      </c>
      <c r="C1100" s="18" t="str">
        <f t="shared" si="69"/>
        <v>Saturday</v>
      </c>
      <c r="D1100" s="10" t="str">
        <f t="shared" si="70"/>
        <v>Same</v>
      </c>
      <c r="E1100" s="2">
        <v>47.31</v>
      </c>
      <c r="F1100" s="2">
        <v>8</v>
      </c>
      <c r="G1100" s="1">
        <f t="shared" si="71"/>
        <v>0.16909744240118368</v>
      </c>
      <c r="H1100" s="2">
        <v>1.5</v>
      </c>
      <c r="I1100" s="26">
        <v>0.83124999999999993</v>
      </c>
      <c r="J1100" s="26">
        <v>0.86458333333333337</v>
      </c>
      <c r="K1100" s="27">
        <f>Table3[[#This Row],[Delivery Time]]-Table3[[#This Row],[Order Time]]</f>
        <v>3.3333333333333437E-2</v>
      </c>
      <c r="L1100" s="43">
        <v>48</v>
      </c>
      <c r="M1100" s="25" t="s">
        <v>0</v>
      </c>
      <c r="N1100" s="28"/>
      <c r="O1100" s="28" t="s">
        <v>39</v>
      </c>
      <c r="P1100" s="25" t="s">
        <v>20</v>
      </c>
    </row>
    <row r="1101" spans="1:16" x14ac:dyDescent="0.25">
      <c r="A1101" s="23">
        <f t="shared" si="68"/>
        <v>1100</v>
      </c>
      <c r="B1101" s="24">
        <v>43317</v>
      </c>
      <c r="C1101" s="18" t="str">
        <f t="shared" si="69"/>
        <v>Sunday</v>
      </c>
      <c r="D1101" s="10" t="str">
        <f t="shared" si="70"/>
        <v>Different</v>
      </c>
      <c r="E1101" s="2">
        <v>25.44</v>
      </c>
      <c r="F1101" s="2">
        <v>5</v>
      </c>
      <c r="G1101" s="1">
        <f t="shared" si="71"/>
        <v>0.19654088050314464</v>
      </c>
      <c r="H1101" s="2">
        <v>1.5</v>
      </c>
      <c r="I1101" s="26">
        <v>0.71319444444444446</v>
      </c>
      <c r="J1101" s="26">
        <v>0.74652777777777779</v>
      </c>
      <c r="K1101" s="27">
        <f>Table3[[#This Row],[Delivery Time]]-Table3[[#This Row],[Order Time]]</f>
        <v>3.3333333333333326E-2</v>
      </c>
      <c r="L1101" s="43">
        <v>48</v>
      </c>
      <c r="M1101" s="25" t="s">
        <v>0</v>
      </c>
      <c r="N1101" s="28"/>
      <c r="O1101" s="28" t="s">
        <v>39</v>
      </c>
      <c r="P1101" s="25" t="s">
        <v>20</v>
      </c>
    </row>
    <row r="1102" spans="1:16" x14ac:dyDescent="0.25">
      <c r="A1102" s="23">
        <f t="shared" si="68"/>
        <v>1101</v>
      </c>
      <c r="B1102" s="24">
        <v>43317</v>
      </c>
      <c r="C1102" s="18" t="str">
        <f t="shared" si="69"/>
        <v>Sunday</v>
      </c>
      <c r="D1102" s="10" t="str">
        <f t="shared" si="70"/>
        <v>Same</v>
      </c>
      <c r="E1102" s="2">
        <v>51.91</v>
      </c>
      <c r="F1102" s="2">
        <v>10</v>
      </c>
      <c r="G1102" s="1">
        <f t="shared" si="71"/>
        <v>0.19264110961279138</v>
      </c>
      <c r="H1102" s="2">
        <v>1.5</v>
      </c>
      <c r="I1102" s="26">
        <v>0.71597222222222223</v>
      </c>
      <c r="J1102" s="26">
        <v>0.75347222222222221</v>
      </c>
      <c r="K1102" s="27">
        <f>Table3[[#This Row],[Delivery Time]]-Table3[[#This Row],[Order Time]]</f>
        <v>3.7499999999999978E-2</v>
      </c>
      <c r="L1102" s="43">
        <v>53.999999999999993</v>
      </c>
      <c r="M1102" s="25" t="s">
        <v>0</v>
      </c>
      <c r="N1102" s="28"/>
      <c r="O1102" s="28" t="s">
        <v>39</v>
      </c>
      <c r="P1102" s="25" t="s">
        <v>20</v>
      </c>
    </row>
    <row r="1103" spans="1:16" x14ac:dyDescent="0.25">
      <c r="A1103" s="23">
        <f t="shared" si="68"/>
        <v>1102</v>
      </c>
      <c r="B1103" s="24">
        <v>43317</v>
      </c>
      <c r="C1103" s="18" t="str">
        <f t="shared" si="69"/>
        <v>Sunday</v>
      </c>
      <c r="D1103" s="10" t="str">
        <f t="shared" si="70"/>
        <v>Same</v>
      </c>
      <c r="E1103" s="2">
        <v>69.709999999999994</v>
      </c>
      <c r="F1103" s="2">
        <v>10</v>
      </c>
      <c r="G1103" s="1">
        <f t="shared" si="71"/>
        <v>0.14345144168698898</v>
      </c>
      <c r="H1103" s="2">
        <v>1.5</v>
      </c>
      <c r="I1103" s="26">
        <v>0.7284722222222223</v>
      </c>
      <c r="J1103" s="26">
        <v>0.76041666666666663</v>
      </c>
      <c r="K1103" s="27">
        <f>Table3[[#This Row],[Delivery Time]]-Table3[[#This Row],[Order Time]]</f>
        <v>3.1944444444444331E-2</v>
      </c>
      <c r="L1103" s="43">
        <v>46.000000000000007</v>
      </c>
      <c r="M1103" s="25" t="s">
        <v>0</v>
      </c>
      <c r="N1103" s="28"/>
      <c r="O1103" s="28" t="s">
        <v>39</v>
      </c>
      <c r="P1103" s="25" t="s">
        <v>20</v>
      </c>
    </row>
    <row r="1104" spans="1:16" x14ac:dyDescent="0.25">
      <c r="A1104" s="23">
        <f t="shared" si="68"/>
        <v>1103</v>
      </c>
      <c r="B1104" s="24">
        <v>43317</v>
      </c>
      <c r="C1104" s="18" t="str">
        <f t="shared" si="69"/>
        <v>Sunday</v>
      </c>
      <c r="D1104" s="10" t="str">
        <f t="shared" si="70"/>
        <v>Same</v>
      </c>
      <c r="E1104" s="2">
        <v>55.02</v>
      </c>
      <c r="F1104" s="2">
        <v>12</v>
      </c>
      <c r="G1104" s="1">
        <f t="shared" si="71"/>
        <v>0.21810250817884405</v>
      </c>
      <c r="H1104" s="2">
        <v>1.5</v>
      </c>
      <c r="I1104" s="26">
        <v>0.7680555555555556</v>
      </c>
      <c r="J1104" s="26">
        <v>0.7944444444444444</v>
      </c>
      <c r="K1104" s="27">
        <f>Table3[[#This Row],[Delivery Time]]-Table3[[#This Row],[Order Time]]</f>
        <v>2.6388888888888795E-2</v>
      </c>
      <c r="L1104" s="43">
        <v>38</v>
      </c>
      <c r="M1104" s="25" t="s">
        <v>0</v>
      </c>
      <c r="N1104" s="28"/>
      <c r="O1104" s="28" t="s">
        <v>39</v>
      </c>
      <c r="P1104" s="25" t="s">
        <v>20</v>
      </c>
    </row>
    <row r="1105" spans="1:16" x14ac:dyDescent="0.25">
      <c r="A1105" s="23">
        <f t="shared" si="68"/>
        <v>1104</v>
      </c>
      <c r="B1105" s="24">
        <v>43317</v>
      </c>
      <c r="C1105" s="18" t="str">
        <f t="shared" si="69"/>
        <v>Sunday</v>
      </c>
      <c r="D1105" s="10" t="str">
        <f t="shared" si="70"/>
        <v>Same</v>
      </c>
      <c r="E1105" s="2">
        <v>13.53</v>
      </c>
      <c r="F1105" s="2">
        <v>4</v>
      </c>
      <c r="G1105" s="1">
        <f t="shared" si="71"/>
        <v>0.29563932002956395</v>
      </c>
      <c r="H1105" s="2">
        <v>1.5</v>
      </c>
      <c r="I1105" s="26">
        <v>0.77500000000000002</v>
      </c>
      <c r="J1105" s="26">
        <v>0.8027777777777777</v>
      </c>
      <c r="K1105" s="27">
        <f>Table3[[#This Row],[Delivery Time]]-Table3[[#This Row],[Order Time]]</f>
        <v>2.7777777777777679E-2</v>
      </c>
      <c r="L1105" s="43">
        <v>40</v>
      </c>
      <c r="M1105" s="25" t="s">
        <v>0</v>
      </c>
      <c r="N1105" s="28"/>
      <c r="O1105" s="28" t="s">
        <v>39</v>
      </c>
      <c r="P1105" s="25" t="s">
        <v>20</v>
      </c>
    </row>
    <row r="1106" spans="1:16" x14ac:dyDescent="0.25">
      <c r="A1106" s="23">
        <f t="shared" si="68"/>
        <v>1105</v>
      </c>
      <c r="B1106" s="24">
        <v>43322</v>
      </c>
      <c r="C1106" s="18" t="str">
        <f t="shared" si="69"/>
        <v>Friday</v>
      </c>
      <c r="D1106" s="10" t="str">
        <f t="shared" si="70"/>
        <v>Different</v>
      </c>
      <c r="E1106" s="2">
        <v>34.26</v>
      </c>
      <c r="F1106" s="2">
        <v>5</v>
      </c>
      <c r="G1106" s="1">
        <f t="shared" si="71"/>
        <v>0.14594279042615296</v>
      </c>
      <c r="H1106" s="2">
        <v>1.5</v>
      </c>
      <c r="I1106" s="26">
        <v>0.75277777777777777</v>
      </c>
      <c r="J1106" s="26">
        <v>0.78333333333333333</v>
      </c>
      <c r="K1106" s="27">
        <f>Table3[[#This Row],[Delivery Time]]-Table3[[#This Row],[Order Time]]</f>
        <v>3.0555555555555558E-2</v>
      </c>
      <c r="L1106" s="43">
        <v>44</v>
      </c>
      <c r="M1106" s="25" t="s">
        <v>0</v>
      </c>
      <c r="N1106" s="28"/>
      <c r="O1106" s="28" t="s">
        <v>39</v>
      </c>
      <c r="P1106" s="25" t="s">
        <v>20</v>
      </c>
    </row>
    <row r="1107" spans="1:16" x14ac:dyDescent="0.25">
      <c r="A1107" s="23">
        <f t="shared" si="68"/>
        <v>1106</v>
      </c>
      <c r="B1107" s="24">
        <v>43322</v>
      </c>
      <c r="C1107" s="18" t="str">
        <f t="shared" si="69"/>
        <v>Friday</v>
      </c>
      <c r="D1107" s="10" t="str">
        <f t="shared" si="70"/>
        <v>Same</v>
      </c>
      <c r="E1107" s="2">
        <v>47.31</v>
      </c>
      <c r="F1107" s="2">
        <v>10</v>
      </c>
      <c r="G1107" s="1">
        <f t="shared" si="71"/>
        <v>0.21137180300147959</v>
      </c>
      <c r="H1107" s="2">
        <v>1.5</v>
      </c>
      <c r="I1107" s="26">
        <v>0.76041666666666663</v>
      </c>
      <c r="J1107" s="26">
        <v>0.79166666666666663</v>
      </c>
      <c r="K1107" s="27">
        <f>Table3[[#This Row],[Delivery Time]]-Table3[[#This Row],[Order Time]]</f>
        <v>3.125E-2</v>
      </c>
      <c r="L1107" s="43">
        <v>45</v>
      </c>
      <c r="M1107" s="25" t="s">
        <v>0</v>
      </c>
      <c r="N1107" s="28"/>
      <c r="O1107" s="28" t="s">
        <v>39</v>
      </c>
      <c r="P1107" s="25" t="s">
        <v>20</v>
      </c>
    </row>
    <row r="1108" spans="1:16" x14ac:dyDescent="0.25">
      <c r="A1108" s="23">
        <f t="shared" si="68"/>
        <v>1107</v>
      </c>
      <c r="B1108" s="24">
        <v>43322</v>
      </c>
      <c r="C1108" s="18" t="str">
        <f t="shared" si="69"/>
        <v>Friday</v>
      </c>
      <c r="D1108" s="10" t="str">
        <f t="shared" si="70"/>
        <v>Same</v>
      </c>
      <c r="E1108" s="2">
        <v>32.69</v>
      </c>
      <c r="F1108" s="2">
        <v>3</v>
      </c>
      <c r="G1108" s="1">
        <f t="shared" si="71"/>
        <v>9.1771183848271654E-2</v>
      </c>
      <c r="H1108" s="2">
        <v>5</v>
      </c>
      <c r="I1108" s="26">
        <v>0.76597222222222217</v>
      </c>
      <c r="J1108" s="26">
        <v>0.80138888888888893</v>
      </c>
      <c r="K1108" s="27">
        <f>Table3[[#This Row],[Delivery Time]]-Table3[[#This Row],[Order Time]]</f>
        <v>3.5416666666666763E-2</v>
      </c>
      <c r="L1108" s="43">
        <v>51</v>
      </c>
      <c r="M1108" s="25" t="s">
        <v>0</v>
      </c>
      <c r="N1108" s="28"/>
      <c r="O1108" s="28" t="s">
        <v>41</v>
      </c>
      <c r="P1108" s="25" t="s">
        <v>20</v>
      </c>
    </row>
    <row r="1109" spans="1:16" x14ac:dyDescent="0.25">
      <c r="A1109" s="23">
        <f t="shared" si="68"/>
        <v>1108</v>
      </c>
      <c r="B1109" s="24">
        <v>43322</v>
      </c>
      <c r="C1109" s="18" t="str">
        <f t="shared" si="69"/>
        <v>Friday</v>
      </c>
      <c r="D1109" s="10" t="str">
        <f t="shared" si="70"/>
        <v>Same</v>
      </c>
      <c r="E1109" s="2">
        <v>93.96</v>
      </c>
      <c r="F1109" s="2">
        <v>10</v>
      </c>
      <c r="G1109" s="1">
        <f t="shared" si="71"/>
        <v>0.10642826734780758</v>
      </c>
      <c r="H1109" s="2">
        <v>1.5</v>
      </c>
      <c r="I1109" s="26">
        <v>0.8041666666666667</v>
      </c>
      <c r="J1109" s="26">
        <v>0.83333333333333337</v>
      </c>
      <c r="K1109" s="27">
        <f>Table3[[#This Row],[Delivery Time]]-Table3[[#This Row],[Order Time]]</f>
        <v>2.9166666666666674E-2</v>
      </c>
      <c r="L1109" s="43">
        <v>42</v>
      </c>
      <c r="M1109" s="25" t="s">
        <v>11</v>
      </c>
      <c r="N1109" s="28"/>
      <c r="O1109" s="28" t="s">
        <v>39</v>
      </c>
      <c r="P1109" s="25" t="s">
        <v>20</v>
      </c>
    </row>
    <row r="1110" spans="1:16" x14ac:dyDescent="0.25">
      <c r="A1110" s="23">
        <f t="shared" si="68"/>
        <v>1109</v>
      </c>
      <c r="B1110" s="24">
        <v>43322</v>
      </c>
      <c r="C1110" s="18" t="str">
        <f t="shared" si="69"/>
        <v>Friday</v>
      </c>
      <c r="D1110" s="10" t="str">
        <f t="shared" si="70"/>
        <v>Same</v>
      </c>
      <c r="E1110" s="2">
        <v>44</v>
      </c>
      <c r="F1110" s="2">
        <v>4</v>
      </c>
      <c r="G1110" s="1">
        <f t="shared" si="71"/>
        <v>9.0909090909090912E-2</v>
      </c>
      <c r="H1110" s="2">
        <v>1.5</v>
      </c>
      <c r="I1110" s="26">
        <v>0.80486111111111114</v>
      </c>
      <c r="J1110" s="26">
        <v>0.84166666666666667</v>
      </c>
      <c r="K1110" s="27">
        <f>Table3[[#This Row],[Delivery Time]]-Table3[[#This Row],[Order Time]]</f>
        <v>3.6805555555555536E-2</v>
      </c>
      <c r="L1110" s="43">
        <v>53</v>
      </c>
      <c r="M1110" s="25" t="s">
        <v>36</v>
      </c>
      <c r="N1110" s="28"/>
      <c r="O1110" s="28" t="s">
        <v>39</v>
      </c>
      <c r="P1110" s="25" t="s">
        <v>20</v>
      </c>
    </row>
    <row r="1111" spans="1:16" x14ac:dyDescent="0.25">
      <c r="A1111" s="23">
        <f t="shared" si="68"/>
        <v>1110</v>
      </c>
      <c r="B1111" s="24">
        <v>43322</v>
      </c>
      <c r="C1111" s="18" t="str">
        <f t="shared" si="69"/>
        <v>Friday</v>
      </c>
      <c r="D1111" s="10" t="str">
        <f t="shared" si="70"/>
        <v>Same</v>
      </c>
      <c r="E1111" s="2">
        <v>40.049999999999997</v>
      </c>
      <c r="F1111" s="2">
        <v>5</v>
      </c>
      <c r="G1111" s="1">
        <f t="shared" si="71"/>
        <v>0.12484394506866418</v>
      </c>
      <c r="H1111" s="2">
        <v>5</v>
      </c>
      <c r="I1111" s="26">
        <v>0.80208333333333337</v>
      </c>
      <c r="J1111" s="26">
        <v>0.84791666666666676</v>
      </c>
      <c r="K1111" s="27">
        <f>Table3[[#This Row],[Delivery Time]]-Table3[[#This Row],[Order Time]]</f>
        <v>4.5833333333333393E-2</v>
      </c>
      <c r="L1111" s="43">
        <v>66</v>
      </c>
      <c r="M1111" s="25" t="s">
        <v>36</v>
      </c>
      <c r="N1111" s="28"/>
      <c r="O1111" s="28" t="s">
        <v>39</v>
      </c>
      <c r="P1111" s="25" t="s">
        <v>20</v>
      </c>
    </row>
    <row r="1112" spans="1:16" x14ac:dyDescent="0.25">
      <c r="A1112" s="23">
        <f t="shared" ref="A1112:A1175" si="72">ROW(A1111)</f>
        <v>1111</v>
      </c>
      <c r="B1112" s="24">
        <v>43322</v>
      </c>
      <c r="C1112" s="18" t="str">
        <f t="shared" si="69"/>
        <v>Friday</v>
      </c>
      <c r="D1112" s="10" t="str">
        <f t="shared" si="70"/>
        <v>Same</v>
      </c>
      <c r="E1112" s="2">
        <v>40.58</v>
      </c>
      <c r="F1112" s="2">
        <v>5</v>
      </c>
      <c r="G1112" s="1">
        <f t="shared" si="71"/>
        <v>0.12321340561853131</v>
      </c>
      <c r="H1112" s="2">
        <v>1.5</v>
      </c>
      <c r="I1112" s="26">
        <v>0.84791666666666676</v>
      </c>
      <c r="J1112" s="26">
        <v>0.87361111111111101</v>
      </c>
      <c r="K1112" s="27">
        <f>Table3[[#This Row],[Delivery Time]]-Table3[[#This Row],[Order Time]]</f>
        <v>2.5694444444444242E-2</v>
      </c>
      <c r="L1112" s="43">
        <v>37</v>
      </c>
      <c r="M1112" s="25" t="s">
        <v>0</v>
      </c>
      <c r="N1112" s="28"/>
      <c r="O1112" s="28" t="s">
        <v>39</v>
      </c>
      <c r="P1112" s="25" t="s">
        <v>20</v>
      </c>
    </row>
    <row r="1113" spans="1:16" x14ac:dyDescent="0.25">
      <c r="A1113" s="23">
        <f t="shared" si="72"/>
        <v>1112</v>
      </c>
      <c r="B1113" s="24">
        <v>43322</v>
      </c>
      <c r="C1113" s="18" t="str">
        <f t="shared" si="69"/>
        <v>Friday</v>
      </c>
      <c r="D1113" s="10" t="str">
        <f t="shared" si="70"/>
        <v>Same</v>
      </c>
      <c r="E1113" s="2">
        <v>51.09</v>
      </c>
      <c r="F1113" s="2">
        <v>10.91</v>
      </c>
      <c r="G1113" s="1">
        <f t="shared" si="71"/>
        <v>0.21354472499510666</v>
      </c>
      <c r="H1113" s="2">
        <v>1.5</v>
      </c>
      <c r="I1113" s="26">
        <v>0.85277777777777775</v>
      </c>
      <c r="J1113" s="26">
        <v>0.87708333333333333</v>
      </c>
      <c r="K1113" s="27">
        <f>Table3[[#This Row],[Delivery Time]]-Table3[[#This Row],[Order Time]]</f>
        <v>2.430555555555558E-2</v>
      </c>
      <c r="L1113" s="43">
        <v>35</v>
      </c>
      <c r="M1113" s="25" t="s">
        <v>0</v>
      </c>
      <c r="N1113" s="28"/>
      <c r="O1113" s="28" t="s">
        <v>39</v>
      </c>
      <c r="P1113" s="25" t="s">
        <v>20</v>
      </c>
    </row>
    <row r="1114" spans="1:16" x14ac:dyDescent="0.25">
      <c r="A1114" s="23">
        <f t="shared" si="72"/>
        <v>1113</v>
      </c>
      <c r="B1114" s="24">
        <v>43322</v>
      </c>
      <c r="C1114" s="18" t="str">
        <f t="shared" si="69"/>
        <v>Friday</v>
      </c>
      <c r="D1114" s="10" t="str">
        <f t="shared" si="70"/>
        <v>Same</v>
      </c>
      <c r="E1114" s="2">
        <v>24.57</v>
      </c>
      <c r="F1114" s="2">
        <v>0.43</v>
      </c>
      <c r="G1114" s="1">
        <f t="shared" si="71"/>
        <v>1.7501017501017499E-2</v>
      </c>
      <c r="H1114" s="2">
        <v>1.5</v>
      </c>
      <c r="I1114" s="26">
        <v>0.85416666666666663</v>
      </c>
      <c r="J1114" s="26">
        <v>0.88541666666666663</v>
      </c>
      <c r="K1114" s="27">
        <f>Table3[[#This Row],[Delivery Time]]-Table3[[#This Row],[Order Time]]</f>
        <v>3.125E-2</v>
      </c>
      <c r="L1114" s="43">
        <v>45</v>
      </c>
      <c r="M1114" s="25" t="s">
        <v>0</v>
      </c>
      <c r="N1114" s="28" t="s">
        <v>24</v>
      </c>
      <c r="O1114" s="28" t="s">
        <v>39</v>
      </c>
      <c r="P1114" s="25" t="s">
        <v>20</v>
      </c>
    </row>
    <row r="1115" spans="1:16" x14ac:dyDescent="0.25">
      <c r="A1115" s="23">
        <f t="shared" si="72"/>
        <v>1114</v>
      </c>
      <c r="B1115" s="24">
        <v>43323</v>
      </c>
      <c r="C1115" s="18" t="str">
        <f t="shared" si="69"/>
        <v>Saturday</v>
      </c>
      <c r="D1115" s="10" t="str">
        <f t="shared" si="70"/>
        <v>Different</v>
      </c>
      <c r="E1115" s="2">
        <v>37.35</v>
      </c>
      <c r="F1115" s="2">
        <v>8</v>
      </c>
      <c r="G1115" s="1">
        <f t="shared" si="71"/>
        <v>0.214190093708166</v>
      </c>
      <c r="H1115" s="2">
        <v>1.5</v>
      </c>
      <c r="I1115" s="26">
        <v>0.75694444444444453</v>
      </c>
      <c r="J1115" s="26">
        <v>0.78472222222222221</v>
      </c>
      <c r="K1115" s="27">
        <f>Table3[[#This Row],[Delivery Time]]-Table3[[#This Row],[Order Time]]</f>
        <v>2.7777777777777679E-2</v>
      </c>
      <c r="L1115" s="43">
        <v>40</v>
      </c>
      <c r="M1115" s="25" t="s">
        <v>11</v>
      </c>
      <c r="N1115" s="28"/>
      <c r="O1115" s="28" t="s">
        <v>39</v>
      </c>
      <c r="P1115" s="25" t="s">
        <v>20</v>
      </c>
    </row>
    <row r="1116" spans="1:16" x14ac:dyDescent="0.25">
      <c r="A1116" s="23">
        <f t="shared" si="72"/>
        <v>1115</v>
      </c>
      <c r="B1116" s="24">
        <v>43323</v>
      </c>
      <c r="C1116" s="18" t="str">
        <f t="shared" si="69"/>
        <v>Saturday</v>
      </c>
      <c r="D1116" s="10" t="str">
        <f t="shared" si="70"/>
        <v>Same</v>
      </c>
      <c r="E1116" s="2">
        <v>23.82</v>
      </c>
      <c r="F1116" s="2">
        <v>8.18</v>
      </c>
      <c r="G1116" s="1">
        <f t="shared" si="71"/>
        <v>0.34340890008396302</v>
      </c>
      <c r="H1116" s="2">
        <v>1.5</v>
      </c>
      <c r="I1116" s="26">
        <v>0.76666666666666661</v>
      </c>
      <c r="J1116" s="26">
        <v>0.79166666666666663</v>
      </c>
      <c r="K1116" s="27">
        <f>Table3[[#This Row],[Delivery Time]]-Table3[[#This Row],[Order Time]]</f>
        <v>2.5000000000000022E-2</v>
      </c>
      <c r="L1116" s="43">
        <v>36</v>
      </c>
      <c r="M1116" s="25" t="s">
        <v>11</v>
      </c>
      <c r="N1116" s="28"/>
      <c r="O1116" s="28" t="s">
        <v>39</v>
      </c>
      <c r="P1116" s="25" t="s">
        <v>20</v>
      </c>
    </row>
    <row r="1117" spans="1:16" x14ac:dyDescent="0.25">
      <c r="A1117" s="23">
        <f t="shared" si="72"/>
        <v>1116</v>
      </c>
      <c r="B1117" s="24">
        <v>43323</v>
      </c>
      <c r="C1117" s="18" t="str">
        <f t="shared" si="69"/>
        <v>Saturday</v>
      </c>
      <c r="D1117" s="10" t="str">
        <f t="shared" si="70"/>
        <v>Same</v>
      </c>
      <c r="E1117" s="2">
        <v>60.02</v>
      </c>
      <c r="F1117" s="2">
        <v>5</v>
      </c>
      <c r="G1117" s="1">
        <f t="shared" si="71"/>
        <v>8.3305564811729418E-2</v>
      </c>
      <c r="H1117" s="2">
        <v>1.5</v>
      </c>
      <c r="I1117" s="26">
        <v>0.76527777777777783</v>
      </c>
      <c r="J1117" s="26">
        <v>0.79861111111111116</v>
      </c>
      <c r="K1117" s="27">
        <f>Table3[[#This Row],[Delivery Time]]-Table3[[#This Row],[Order Time]]</f>
        <v>3.3333333333333326E-2</v>
      </c>
      <c r="L1117" s="43">
        <v>48</v>
      </c>
      <c r="M1117" s="25" t="s">
        <v>11</v>
      </c>
      <c r="N1117" s="28"/>
      <c r="O1117" s="28" t="s">
        <v>39</v>
      </c>
      <c r="P1117" s="25" t="s">
        <v>20</v>
      </c>
    </row>
    <row r="1118" spans="1:16" x14ac:dyDescent="0.25">
      <c r="A1118" s="23">
        <f t="shared" si="72"/>
        <v>1117</v>
      </c>
      <c r="B1118" s="24">
        <v>43323</v>
      </c>
      <c r="C1118" s="18" t="str">
        <f t="shared" si="69"/>
        <v>Saturday</v>
      </c>
      <c r="D1118" s="10" t="str">
        <f t="shared" si="70"/>
        <v>Same</v>
      </c>
      <c r="E1118" s="2">
        <v>45.9</v>
      </c>
      <c r="F1118" s="2">
        <v>3</v>
      </c>
      <c r="G1118" s="1">
        <f t="shared" si="71"/>
        <v>6.535947712418301E-2</v>
      </c>
      <c r="H1118" s="2">
        <v>1.5</v>
      </c>
      <c r="I1118" s="26">
        <v>0.79583333333333339</v>
      </c>
      <c r="J1118" s="26">
        <v>0.82361111111111107</v>
      </c>
      <c r="K1118" s="27">
        <f>Table3[[#This Row],[Delivery Time]]-Table3[[#This Row],[Order Time]]</f>
        <v>2.7777777777777679E-2</v>
      </c>
      <c r="L1118" s="43">
        <v>40</v>
      </c>
      <c r="M1118" s="25" t="s">
        <v>0</v>
      </c>
      <c r="N1118" s="28" t="s">
        <v>22</v>
      </c>
      <c r="O1118" s="28" t="s">
        <v>39</v>
      </c>
      <c r="P1118" s="25" t="s">
        <v>20</v>
      </c>
    </row>
    <row r="1119" spans="1:16" x14ac:dyDescent="0.25">
      <c r="A1119" s="23">
        <f t="shared" si="72"/>
        <v>1118</v>
      </c>
      <c r="B1119" s="24">
        <v>43323</v>
      </c>
      <c r="C1119" s="18" t="str">
        <f t="shared" si="69"/>
        <v>Saturday</v>
      </c>
      <c r="D1119" s="10" t="str">
        <f t="shared" si="70"/>
        <v>Same</v>
      </c>
      <c r="E1119" s="2">
        <v>33.020000000000003</v>
      </c>
      <c r="F1119" s="2">
        <v>3</v>
      </c>
      <c r="G1119" s="1">
        <f t="shared" si="71"/>
        <v>9.0854027861901873E-2</v>
      </c>
      <c r="H1119" s="2">
        <v>5</v>
      </c>
      <c r="I1119" s="26">
        <v>0.79513888888888884</v>
      </c>
      <c r="J1119" s="26">
        <v>0.83333333333333337</v>
      </c>
      <c r="K1119" s="27">
        <f>Table3[[#This Row],[Delivery Time]]-Table3[[#This Row],[Order Time]]</f>
        <v>3.8194444444444531E-2</v>
      </c>
      <c r="L1119" s="43">
        <v>54.999999999999993</v>
      </c>
      <c r="M1119" s="25" t="s">
        <v>0</v>
      </c>
      <c r="N1119" s="28"/>
      <c r="O1119" s="28" t="s">
        <v>39</v>
      </c>
      <c r="P1119" s="25" t="s">
        <v>20</v>
      </c>
    </row>
    <row r="1120" spans="1:16" x14ac:dyDescent="0.25">
      <c r="A1120" s="23">
        <f t="shared" si="72"/>
        <v>1119</v>
      </c>
      <c r="B1120" s="24">
        <v>43323</v>
      </c>
      <c r="C1120" s="18" t="str">
        <f t="shared" si="69"/>
        <v>Saturday</v>
      </c>
      <c r="D1120" s="10" t="str">
        <f t="shared" si="70"/>
        <v>Same</v>
      </c>
      <c r="E1120" s="2">
        <v>36.75</v>
      </c>
      <c r="F1120" s="2">
        <v>8</v>
      </c>
      <c r="G1120" s="1">
        <f t="shared" si="71"/>
        <v>0.21768707482993196</v>
      </c>
      <c r="H1120" s="2">
        <v>1.5</v>
      </c>
      <c r="I1120" s="26">
        <v>0.79861111111111116</v>
      </c>
      <c r="J1120" s="26">
        <v>0.84166666666666667</v>
      </c>
      <c r="K1120" s="27">
        <f>Table3[[#This Row],[Delivery Time]]-Table3[[#This Row],[Order Time]]</f>
        <v>4.3055555555555514E-2</v>
      </c>
      <c r="L1120" s="43">
        <v>62.000000000000007</v>
      </c>
      <c r="M1120" s="25" t="s">
        <v>0</v>
      </c>
      <c r="N1120" s="28" t="s">
        <v>24</v>
      </c>
      <c r="O1120" s="28" t="s">
        <v>39</v>
      </c>
      <c r="P1120" s="25" t="s">
        <v>20</v>
      </c>
    </row>
    <row r="1121" spans="1:16" x14ac:dyDescent="0.25">
      <c r="A1121" s="23">
        <f t="shared" si="72"/>
        <v>1120</v>
      </c>
      <c r="B1121" s="24">
        <v>43323</v>
      </c>
      <c r="C1121" s="18" t="str">
        <f t="shared" si="69"/>
        <v>Saturday</v>
      </c>
      <c r="D1121" s="10" t="str">
        <f t="shared" si="70"/>
        <v>Same</v>
      </c>
      <c r="E1121" s="2">
        <v>50.82</v>
      </c>
      <c r="F1121" s="2">
        <v>5</v>
      </c>
      <c r="G1121" s="1">
        <f t="shared" si="71"/>
        <v>9.8386462022825652E-2</v>
      </c>
      <c r="H1121" s="2">
        <v>1.5</v>
      </c>
      <c r="I1121" s="26">
        <v>0.80347222222222225</v>
      </c>
      <c r="J1121" s="26">
        <v>0.84791666666666676</v>
      </c>
      <c r="K1121" s="27">
        <f>Table3[[#This Row],[Delivery Time]]-Table3[[#This Row],[Order Time]]</f>
        <v>4.4444444444444509E-2</v>
      </c>
      <c r="L1121" s="43">
        <v>64</v>
      </c>
      <c r="M1121" s="25" t="s">
        <v>0</v>
      </c>
      <c r="N1121" s="28" t="s">
        <v>25</v>
      </c>
      <c r="O1121" s="28" t="s">
        <v>39</v>
      </c>
      <c r="P1121" s="25" t="s">
        <v>20</v>
      </c>
    </row>
    <row r="1122" spans="1:16" x14ac:dyDescent="0.25">
      <c r="A1122" s="23">
        <f t="shared" si="72"/>
        <v>1121</v>
      </c>
      <c r="B1122" s="24">
        <v>43323</v>
      </c>
      <c r="C1122" s="18" t="str">
        <f t="shared" si="69"/>
        <v>Saturday</v>
      </c>
      <c r="D1122" s="10" t="str">
        <f t="shared" si="70"/>
        <v>Same</v>
      </c>
      <c r="E1122" s="2">
        <v>51.31</v>
      </c>
      <c r="F1122" s="2">
        <v>10</v>
      </c>
      <c r="G1122" s="1">
        <f t="shared" si="71"/>
        <v>0.19489378288832584</v>
      </c>
      <c r="H1122" s="2">
        <v>1.5</v>
      </c>
      <c r="I1122" s="26">
        <v>0.86805555555555547</v>
      </c>
      <c r="J1122" s="26">
        <v>0.86805555555555547</v>
      </c>
      <c r="K1122" s="27">
        <f>Table3[[#This Row],[Delivery Time]]-Table3[[#This Row],[Order Time]]</f>
        <v>0</v>
      </c>
      <c r="L1122" s="43">
        <v>0</v>
      </c>
      <c r="M1122" s="25" t="s">
        <v>11</v>
      </c>
      <c r="N1122" s="28"/>
      <c r="O1122" s="28" t="s">
        <v>39</v>
      </c>
      <c r="P1122" s="25" t="s">
        <v>16</v>
      </c>
    </row>
    <row r="1123" spans="1:16" x14ac:dyDescent="0.25">
      <c r="A1123" s="23">
        <f t="shared" si="72"/>
        <v>1122</v>
      </c>
      <c r="B1123" s="24">
        <v>43323</v>
      </c>
      <c r="C1123" s="18" t="str">
        <f t="shared" si="69"/>
        <v>Saturday</v>
      </c>
      <c r="D1123" s="10" t="str">
        <f t="shared" si="70"/>
        <v>Same</v>
      </c>
      <c r="E1123" s="2">
        <v>22.41</v>
      </c>
      <c r="F1123" s="2">
        <v>1</v>
      </c>
      <c r="G1123" s="1">
        <f t="shared" si="71"/>
        <v>4.4622936189201247E-2</v>
      </c>
      <c r="H1123" s="2">
        <v>1.5</v>
      </c>
      <c r="I1123" s="26">
        <v>0.86388888888888893</v>
      </c>
      <c r="J1123" s="26">
        <v>0.89861111111111114</v>
      </c>
      <c r="K1123" s="27">
        <f>Table3[[#This Row],[Delivery Time]]-Table3[[#This Row],[Order Time]]</f>
        <v>3.472222222222221E-2</v>
      </c>
      <c r="L1123" s="43">
        <v>50</v>
      </c>
      <c r="M1123" s="25" t="s">
        <v>11</v>
      </c>
      <c r="N1123" s="28"/>
      <c r="O1123" s="28" t="s">
        <v>39</v>
      </c>
      <c r="P1123" s="25" t="s">
        <v>20</v>
      </c>
    </row>
    <row r="1124" spans="1:16" x14ac:dyDescent="0.25">
      <c r="A1124" s="23">
        <f t="shared" si="72"/>
        <v>1123</v>
      </c>
      <c r="B1124" s="24">
        <v>43323</v>
      </c>
      <c r="C1124" s="18" t="str">
        <f t="shared" si="69"/>
        <v>Saturday</v>
      </c>
      <c r="D1124" s="10" t="str">
        <f t="shared" si="70"/>
        <v>Same</v>
      </c>
      <c r="E1124" s="2">
        <v>38.92</v>
      </c>
      <c r="F1124" s="2">
        <v>6.08</v>
      </c>
      <c r="G1124" s="1">
        <f t="shared" si="71"/>
        <v>0.15621788283658786</v>
      </c>
      <c r="H1124" s="2">
        <v>1.5</v>
      </c>
      <c r="I1124" s="26">
        <v>0.86805555555555547</v>
      </c>
      <c r="J1124" s="26">
        <v>0.91111111111111109</v>
      </c>
      <c r="K1124" s="27">
        <f>Table3[[#This Row],[Delivery Time]]-Table3[[#This Row],[Order Time]]</f>
        <v>4.3055555555555625E-2</v>
      </c>
      <c r="L1124" s="43">
        <v>62.000000000000007</v>
      </c>
      <c r="M1124" s="25" t="s">
        <v>11</v>
      </c>
      <c r="N1124" s="28"/>
      <c r="O1124" s="28" t="s">
        <v>41</v>
      </c>
      <c r="P1124" s="25" t="s">
        <v>20</v>
      </c>
    </row>
    <row r="1125" spans="1:16" x14ac:dyDescent="0.25">
      <c r="A1125" s="23">
        <f t="shared" si="72"/>
        <v>1124</v>
      </c>
      <c r="B1125" s="24">
        <v>43324</v>
      </c>
      <c r="C1125" s="18" t="str">
        <f t="shared" si="69"/>
        <v>Sunday</v>
      </c>
      <c r="D1125" s="10" t="str">
        <f t="shared" si="70"/>
        <v>Different</v>
      </c>
      <c r="E1125" s="2">
        <v>34.64</v>
      </c>
      <c r="F1125" s="2">
        <v>5.36</v>
      </c>
      <c r="G1125" s="1">
        <f t="shared" si="71"/>
        <v>0.15473441108545036</v>
      </c>
      <c r="H1125" s="2">
        <v>5</v>
      </c>
      <c r="I1125" s="26">
        <v>0.69305555555555554</v>
      </c>
      <c r="J1125" s="26">
        <v>0.72430555555555554</v>
      </c>
      <c r="K1125" s="27">
        <f>Table3[[#This Row],[Delivery Time]]-Table3[[#This Row],[Order Time]]</f>
        <v>3.125E-2</v>
      </c>
      <c r="L1125" s="43">
        <v>45</v>
      </c>
      <c r="M1125" s="25" t="s">
        <v>11</v>
      </c>
      <c r="N1125" s="28"/>
      <c r="O1125" s="28" t="s">
        <v>39</v>
      </c>
      <c r="P1125" s="25" t="s">
        <v>20</v>
      </c>
    </row>
    <row r="1126" spans="1:16" x14ac:dyDescent="0.25">
      <c r="A1126" s="23">
        <f t="shared" si="72"/>
        <v>1125</v>
      </c>
      <c r="B1126" s="24">
        <v>43324</v>
      </c>
      <c r="C1126" s="18" t="str">
        <f t="shared" si="69"/>
        <v>Sunday</v>
      </c>
      <c r="D1126" s="10" t="str">
        <f t="shared" si="70"/>
        <v>Same</v>
      </c>
      <c r="E1126" s="2">
        <v>23.22</v>
      </c>
      <c r="F1126" s="2">
        <v>5</v>
      </c>
      <c r="G1126" s="1">
        <f t="shared" si="71"/>
        <v>0.2153316106804479</v>
      </c>
      <c r="H1126" s="2">
        <v>1.5</v>
      </c>
      <c r="I1126" s="26">
        <v>0.72361111111111109</v>
      </c>
      <c r="J1126" s="26">
        <v>0.75277777777777777</v>
      </c>
      <c r="K1126" s="27">
        <f>Table3[[#This Row],[Delivery Time]]-Table3[[#This Row],[Order Time]]</f>
        <v>2.9166666666666674E-2</v>
      </c>
      <c r="L1126" s="43">
        <v>42</v>
      </c>
      <c r="M1126" s="25" t="s">
        <v>0</v>
      </c>
      <c r="N1126" s="28" t="s">
        <v>25</v>
      </c>
      <c r="O1126" s="28" t="s">
        <v>39</v>
      </c>
      <c r="P1126" s="25" t="s">
        <v>20</v>
      </c>
    </row>
    <row r="1127" spans="1:16" x14ac:dyDescent="0.25">
      <c r="A1127" s="23">
        <f t="shared" si="72"/>
        <v>1126</v>
      </c>
      <c r="B1127" s="24">
        <v>43324</v>
      </c>
      <c r="C1127" s="18" t="str">
        <f t="shared" si="69"/>
        <v>Sunday</v>
      </c>
      <c r="D1127" s="10" t="str">
        <f t="shared" si="70"/>
        <v>Same</v>
      </c>
      <c r="E1127" s="2">
        <v>30.31</v>
      </c>
      <c r="F1127" s="2">
        <v>3</v>
      </c>
      <c r="G1127" s="1">
        <f t="shared" si="71"/>
        <v>9.8977235235895744E-2</v>
      </c>
      <c r="H1127" s="2">
        <v>1.5</v>
      </c>
      <c r="I1127" s="26">
        <v>0.73541666666666661</v>
      </c>
      <c r="J1127" s="26">
        <v>0.7597222222222223</v>
      </c>
      <c r="K1127" s="27">
        <f>Table3[[#This Row],[Delivery Time]]-Table3[[#This Row],[Order Time]]</f>
        <v>2.4305555555555691E-2</v>
      </c>
      <c r="L1127" s="43">
        <v>35</v>
      </c>
      <c r="M1127" s="25" t="s">
        <v>0</v>
      </c>
      <c r="N1127" s="28"/>
      <c r="O1127" s="28" t="s">
        <v>41</v>
      </c>
      <c r="P1127" s="25" t="s">
        <v>20</v>
      </c>
    </row>
    <row r="1128" spans="1:16" x14ac:dyDescent="0.25">
      <c r="A1128" s="23">
        <f t="shared" si="72"/>
        <v>1127</v>
      </c>
      <c r="B1128" s="24">
        <v>43324</v>
      </c>
      <c r="C1128" s="18" t="str">
        <f t="shared" si="69"/>
        <v>Sunday</v>
      </c>
      <c r="D1128" s="10" t="str">
        <f t="shared" si="70"/>
        <v>Same</v>
      </c>
      <c r="E1128" s="2">
        <v>28.62</v>
      </c>
      <c r="F1128" s="2">
        <v>7</v>
      </c>
      <c r="G1128" s="1">
        <f t="shared" si="71"/>
        <v>0.24458420684835777</v>
      </c>
      <c r="H1128" s="2">
        <v>5</v>
      </c>
      <c r="I1128" s="26">
        <v>0.73055555555555562</v>
      </c>
      <c r="J1128" s="26">
        <v>0.76874999999999993</v>
      </c>
      <c r="K1128" s="27">
        <f>Table3[[#This Row],[Delivery Time]]-Table3[[#This Row],[Order Time]]</f>
        <v>3.8194444444444309E-2</v>
      </c>
      <c r="L1128" s="43">
        <v>54.999999999999993</v>
      </c>
      <c r="M1128" s="25" t="s">
        <v>0</v>
      </c>
      <c r="N1128" s="28"/>
      <c r="O1128" s="28" t="s">
        <v>39</v>
      </c>
      <c r="P1128" s="25" t="s">
        <v>20</v>
      </c>
    </row>
    <row r="1129" spans="1:16" x14ac:dyDescent="0.25">
      <c r="A1129" s="23">
        <f t="shared" si="72"/>
        <v>1128</v>
      </c>
      <c r="B1129" s="24">
        <v>43324</v>
      </c>
      <c r="C1129" s="18" t="str">
        <f t="shared" si="69"/>
        <v>Sunday</v>
      </c>
      <c r="D1129" s="10" t="str">
        <f t="shared" si="70"/>
        <v>Same</v>
      </c>
      <c r="E1129" s="2">
        <v>48.66</v>
      </c>
      <c r="F1129" s="2">
        <v>7</v>
      </c>
      <c r="G1129" s="1">
        <f t="shared" si="71"/>
        <v>0.14385532264693796</v>
      </c>
      <c r="H1129" s="2">
        <v>5</v>
      </c>
      <c r="I1129" s="26">
        <v>0.73749999999999993</v>
      </c>
      <c r="J1129" s="26">
        <v>0.7729166666666667</v>
      </c>
      <c r="K1129" s="27">
        <f>Table3[[#This Row],[Delivery Time]]-Table3[[#This Row],[Order Time]]</f>
        <v>3.5416666666666763E-2</v>
      </c>
      <c r="L1129" s="43">
        <v>51</v>
      </c>
      <c r="M1129" s="25" t="s">
        <v>0</v>
      </c>
      <c r="N1129" s="28"/>
      <c r="O1129" s="28" t="s">
        <v>39</v>
      </c>
      <c r="P1129" s="25" t="s">
        <v>20</v>
      </c>
    </row>
    <row r="1130" spans="1:16" x14ac:dyDescent="0.25">
      <c r="A1130" s="23">
        <f t="shared" si="72"/>
        <v>1129</v>
      </c>
      <c r="B1130" s="24">
        <v>43324</v>
      </c>
      <c r="C1130" s="18" t="str">
        <f t="shared" si="69"/>
        <v>Sunday</v>
      </c>
      <c r="D1130" s="10" t="str">
        <f t="shared" si="70"/>
        <v>Same</v>
      </c>
      <c r="E1130" s="2">
        <v>40.270000000000003</v>
      </c>
      <c r="F1130" s="2">
        <v>18</v>
      </c>
      <c r="G1130" s="1">
        <f t="shared" si="71"/>
        <v>0.44698286565681644</v>
      </c>
      <c r="H1130" s="2">
        <v>1.5</v>
      </c>
      <c r="I1130" s="26">
        <v>0.78888888888888886</v>
      </c>
      <c r="J1130" s="26">
        <v>0.80694444444444446</v>
      </c>
      <c r="K1130" s="27">
        <f>Table3[[#This Row],[Delivery Time]]-Table3[[#This Row],[Order Time]]</f>
        <v>1.8055555555555602E-2</v>
      </c>
      <c r="L1130" s="43">
        <v>26</v>
      </c>
      <c r="M1130" s="25" t="s">
        <v>0</v>
      </c>
      <c r="N1130" s="28"/>
      <c r="O1130" s="28" t="s">
        <v>39</v>
      </c>
      <c r="P1130" s="25" t="s">
        <v>20</v>
      </c>
    </row>
    <row r="1131" spans="1:16" x14ac:dyDescent="0.25">
      <c r="A1131" s="23">
        <f t="shared" si="72"/>
        <v>1130</v>
      </c>
      <c r="B1131" s="24">
        <v>43324</v>
      </c>
      <c r="C1131" s="18" t="str">
        <f t="shared" si="69"/>
        <v>Sunday</v>
      </c>
      <c r="D1131" s="10" t="str">
        <f t="shared" si="70"/>
        <v>Same</v>
      </c>
      <c r="E1131" s="2">
        <v>17</v>
      </c>
      <c r="F1131" s="2">
        <v>15</v>
      </c>
      <c r="G1131" s="1">
        <f t="shared" si="71"/>
        <v>0.88235294117647056</v>
      </c>
      <c r="H1131" s="2">
        <v>1.5</v>
      </c>
      <c r="I1131" s="26">
        <v>0.8125</v>
      </c>
      <c r="J1131" s="26">
        <v>0.8305555555555556</v>
      </c>
      <c r="K1131" s="27">
        <f>Table3[[#This Row],[Delivery Time]]-Table3[[#This Row],[Order Time]]</f>
        <v>1.8055555555555602E-2</v>
      </c>
      <c r="L1131" s="43">
        <v>26</v>
      </c>
      <c r="M1131" s="25" t="s">
        <v>11</v>
      </c>
      <c r="N1131" s="28"/>
      <c r="O1131" s="28" t="s">
        <v>39</v>
      </c>
      <c r="P1131" s="25" t="s">
        <v>20</v>
      </c>
    </row>
    <row r="1132" spans="1:16" x14ac:dyDescent="0.25">
      <c r="A1132" s="23">
        <f t="shared" si="72"/>
        <v>1131</v>
      </c>
      <c r="B1132" s="24">
        <v>43329</v>
      </c>
      <c r="C1132" s="18" t="str">
        <f t="shared" si="69"/>
        <v>Friday</v>
      </c>
      <c r="D1132" s="10" t="str">
        <f t="shared" si="70"/>
        <v>Different</v>
      </c>
      <c r="E1132" s="2">
        <v>24.03</v>
      </c>
      <c r="F1132" s="2">
        <v>4</v>
      </c>
      <c r="G1132" s="1">
        <f t="shared" si="71"/>
        <v>0.16645859342488556</v>
      </c>
      <c r="H1132" s="2">
        <v>1.5</v>
      </c>
      <c r="I1132" s="26">
        <v>0.75902777777777775</v>
      </c>
      <c r="J1132" s="26">
        <v>0.79027777777777775</v>
      </c>
      <c r="K1132" s="27">
        <f>Table3[[#This Row],[Delivery Time]]-Table3[[#This Row],[Order Time]]</f>
        <v>3.125E-2</v>
      </c>
      <c r="L1132" s="43">
        <v>45</v>
      </c>
      <c r="M1132" s="25" t="s">
        <v>0</v>
      </c>
      <c r="N1132" s="28"/>
      <c r="O1132" s="28" t="s">
        <v>39</v>
      </c>
      <c r="P1132" s="25" t="s">
        <v>20</v>
      </c>
    </row>
    <row r="1133" spans="1:16" x14ac:dyDescent="0.25">
      <c r="A1133" s="23">
        <f t="shared" si="72"/>
        <v>1132</v>
      </c>
      <c r="B1133" s="24">
        <v>43329</v>
      </c>
      <c r="C1133" s="18" t="str">
        <f t="shared" si="69"/>
        <v>Friday</v>
      </c>
      <c r="D1133" s="10" t="str">
        <f t="shared" si="70"/>
        <v>Same</v>
      </c>
      <c r="E1133" s="2">
        <v>38.369999999999997</v>
      </c>
      <c r="F1133" s="2">
        <v>5</v>
      </c>
      <c r="G1133" s="1">
        <f t="shared" si="71"/>
        <v>0.13031013812874642</v>
      </c>
      <c r="H1133" s="2">
        <v>5</v>
      </c>
      <c r="I1133" s="26">
        <v>0.7631944444444444</v>
      </c>
      <c r="J1133" s="26">
        <v>0.80069444444444438</v>
      </c>
      <c r="K1133" s="27">
        <f>Table3[[#This Row],[Delivery Time]]-Table3[[#This Row],[Order Time]]</f>
        <v>3.7499999999999978E-2</v>
      </c>
      <c r="L1133" s="43">
        <v>53.999999999999993</v>
      </c>
      <c r="M1133" s="25" t="s">
        <v>0</v>
      </c>
      <c r="N1133" s="28"/>
      <c r="O1133" s="28" t="s">
        <v>39</v>
      </c>
      <c r="P1133" s="25" t="s">
        <v>20</v>
      </c>
    </row>
    <row r="1134" spans="1:16" x14ac:dyDescent="0.25">
      <c r="A1134" s="23">
        <f t="shared" si="72"/>
        <v>1133</v>
      </c>
      <c r="B1134" s="24">
        <v>43329</v>
      </c>
      <c r="C1134" s="18" t="str">
        <f t="shared" si="69"/>
        <v>Friday</v>
      </c>
      <c r="D1134" s="10" t="str">
        <f t="shared" si="70"/>
        <v>Same</v>
      </c>
      <c r="E1134" s="2">
        <v>66.03</v>
      </c>
      <c r="F1134" s="2">
        <v>4</v>
      </c>
      <c r="G1134" s="1">
        <f t="shared" si="71"/>
        <v>6.0578524912918368E-2</v>
      </c>
      <c r="H1134" s="2">
        <v>5</v>
      </c>
      <c r="I1134" s="26">
        <v>0.76458333333333339</v>
      </c>
      <c r="J1134" s="26">
        <v>0.80972222222222223</v>
      </c>
      <c r="K1134" s="27">
        <f>Table3[[#This Row],[Delivery Time]]-Table3[[#This Row],[Order Time]]</f>
        <v>4.513888888888884E-2</v>
      </c>
      <c r="L1134" s="43">
        <v>65</v>
      </c>
      <c r="M1134" s="25" t="s">
        <v>0</v>
      </c>
      <c r="N1134" s="28"/>
      <c r="O1134" s="28" t="s">
        <v>39</v>
      </c>
      <c r="P1134" s="25" t="s">
        <v>20</v>
      </c>
    </row>
    <row r="1135" spans="1:16" x14ac:dyDescent="0.25">
      <c r="A1135" s="23">
        <f t="shared" si="72"/>
        <v>1134</v>
      </c>
      <c r="B1135" s="24">
        <v>43329</v>
      </c>
      <c r="C1135" s="18" t="str">
        <f t="shared" si="69"/>
        <v>Friday</v>
      </c>
      <c r="D1135" s="10" t="str">
        <f t="shared" si="70"/>
        <v>Same</v>
      </c>
      <c r="E1135" s="2">
        <v>43.46</v>
      </c>
      <c r="F1135" s="2">
        <v>5</v>
      </c>
      <c r="G1135" s="1">
        <f t="shared" si="71"/>
        <v>0.11504832029452369</v>
      </c>
      <c r="H1135" s="2">
        <v>1.5</v>
      </c>
      <c r="I1135" s="26">
        <v>0.82152777777777775</v>
      </c>
      <c r="J1135" s="26">
        <v>0.85138888888888886</v>
      </c>
      <c r="K1135" s="27">
        <f>Table3[[#This Row],[Delivery Time]]-Table3[[#This Row],[Order Time]]</f>
        <v>2.9861111111111116E-2</v>
      </c>
      <c r="L1135" s="43">
        <v>43</v>
      </c>
      <c r="M1135" s="25" t="s">
        <v>11</v>
      </c>
      <c r="N1135" s="28"/>
      <c r="O1135" s="28" t="s">
        <v>39</v>
      </c>
      <c r="P1135" s="25" t="s">
        <v>20</v>
      </c>
    </row>
    <row r="1136" spans="1:16" x14ac:dyDescent="0.25">
      <c r="A1136" s="23">
        <f t="shared" si="72"/>
        <v>1135</v>
      </c>
      <c r="B1136" s="24">
        <v>43329</v>
      </c>
      <c r="C1136" s="18" t="str">
        <f t="shared" si="69"/>
        <v>Friday</v>
      </c>
      <c r="D1136" s="10" t="str">
        <f t="shared" si="70"/>
        <v>Same</v>
      </c>
      <c r="E1136" s="2">
        <v>72.2</v>
      </c>
      <c r="F1136" s="2">
        <v>8</v>
      </c>
      <c r="G1136" s="1">
        <f t="shared" si="71"/>
        <v>0.11080332409972299</v>
      </c>
      <c r="H1136" s="2">
        <v>1.5</v>
      </c>
      <c r="I1136" s="26">
        <v>0.83263888888888893</v>
      </c>
      <c r="J1136" s="26">
        <v>0.85625000000000007</v>
      </c>
      <c r="K1136" s="27">
        <f>Table3[[#This Row],[Delivery Time]]-Table3[[#This Row],[Order Time]]</f>
        <v>2.3611111111111138E-2</v>
      </c>
      <c r="L1136" s="43">
        <v>34</v>
      </c>
      <c r="M1136" s="25" t="s">
        <v>11</v>
      </c>
      <c r="N1136" s="28"/>
      <c r="O1136" s="28" t="s">
        <v>39</v>
      </c>
      <c r="P1136" s="25" t="s">
        <v>20</v>
      </c>
    </row>
    <row r="1137" spans="1:16" x14ac:dyDescent="0.25">
      <c r="A1137" s="23">
        <f t="shared" si="72"/>
        <v>1136</v>
      </c>
      <c r="B1137" s="24">
        <v>43330</v>
      </c>
      <c r="C1137" s="18" t="str">
        <f t="shared" si="69"/>
        <v>Saturday</v>
      </c>
      <c r="D1137" s="10" t="str">
        <f t="shared" si="70"/>
        <v>Different</v>
      </c>
      <c r="E1137" s="2">
        <v>39.94</v>
      </c>
      <c r="F1137" s="2">
        <v>4</v>
      </c>
      <c r="G1137" s="1">
        <f t="shared" si="71"/>
        <v>0.10015022533800702</v>
      </c>
      <c r="H1137" s="2">
        <v>5</v>
      </c>
      <c r="I1137" s="26">
        <v>0.72499999999999998</v>
      </c>
      <c r="J1137" s="26">
        <v>0.75624999999999998</v>
      </c>
      <c r="K1137" s="27">
        <f>Table3[[#This Row],[Delivery Time]]-Table3[[#This Row],[Order Time]]</f>
        <v>3.125E-2</v>
      </c>
      <c r="L1137" s="43">
        <v>45</v>
      </c>
      <c r="M1137" s="25" t="s">
        <v>0</v>
      </c>
      <c r="N1137" s="28"/>
      <c r="O1137" s="28" t="s">
        <v>39</v>
      </c>
      <c r="P1137" s="25" t="s">
        <v>20</v>
      </c>
    </row>
    <row r="1138" spans="1:16" x14ac:dyDescent="0.25">
      <c r="A1138" s="23">
        <f t="shared" si="72"/>
        <v>1137</v>
      </c>
      <c r="B1138" s="24">
        <v>43330</v>
      </c>
      <c r="C1138" s="18" t="str">
        <f t="shared" si="69"/>
        <v>Saturday</v>
      </c>
      <c r="D1138" s="10" t="str">
        <f t="shared" si="70"/>
        <v>Same</v>
      </c>
      <c r="E1138" s="2">
        <v>20.3</v>
      </c>
      <c r="F1138" s="2">
        <v>3</v>
      </c>
      <c r="G1138" s="1">
        <f t="shared" si="71"/>
        <v>0.14778325123152708</v>
      </c>
      <c r="H1138" s="2">
        <v>1.5</v>
      </c>
      <c r="I1138" s="26">
        <v>0.77013888888888893</v>
      </c>
      <c r="J1138" s="26">
        <v>0.78194444444444444</v>
      </c>
      <c r="K1138" s="27">
        <f>Table3[[#This Row],[Delivery Time]]-Table3[[#This Row],[Order Time]]</f>
        <v>1.1805555555555514E-2</v>
      </c>
      <c r="L1138" s="43">
        <v>17</v>
      </c>
      <c r="M1138" s="25" t="s">
        <v>0</v>
      </c>
      <c r="N1138" s="28"/>
      <c r="O1138" s="28" t="s">
        <v>42</v>
      </c>
      <c r="P1138" s="25" t="s">
        <v>20</v>
      </c>
    </row>
    <row r="1139" spans="1:16" x14ac:dyDescent="0.25">
      <c r="A1139" s="23">
        <f t="shared" si="72"/>
        <v>1138</v>
      </c>
      <c r="B1139" s="24">
        <v>43330</v>
      </c>
      <c r="C1139" s="18" t="str">
        <f t="shared" si="69"/>
        <v>Saturday</v>
      </c>
      <c r="D1139" s="10" t="str">
        <f t="shared" si="70"/>
        <v>Same</v>
      </c>
      <c r="E1139" s="2">
        <v>104.46</v>
      </c>
      <c r="F1139" s="2">
        <v>10</v>
      </c>
      <c r="G1139" s="1">
        <f t="shared" si="71"/>
        <v>9.5730423128470229E-2</v>
      </c>
      <c r="H1139" s="2">
        <v>5</v>
      </c>
      <c r="I1139" s="26">
        <v>0.76250000000000007</v>
      </c>
      <c r="J1139" s="26">
        <v>0.79513888888888884</v>
      </c>
      <c r="K1139" s="27">
        <f>Table3[[#This Row],[Delivery Time]]-Table3[[#This Row],[Order Time]]</f>
        <v>3.2638888888888773E-2</v>
      </c>
      <c r="L1139" s="43">
        <v>47.000000000000007</v>
      </c>
      <c r="M1139" s="25" t="s">
        <v>0</v>
      </c>
      <c r="N1139" s="28"/>
      <c r="O1139" s="28" t="s">
        <v>39</v>
      </c>
      <c r="P1139" s="25" t="s">
        <v>20</v>
      </c>
    </row>
    <row r="1140" spans="1:16" x14ac:dyDescent="0.25">
      <c r="A1140" s="23">
        <f t="shared" si="72"/>
        <v>1139</v>
      </c>
      <c r="B1140" s="24">
        <v>43330</v>
      </c>
      <c r="C1140" s="18" t="str">
        <f t="shared" si="69"/>
        <v>Saturday</v>
      </c>
      <c r="D1140" s="10" t="str">
        <f t="shared" si="70"/>
        <v>Same</v>
      </c>
      <c r="E1140" s="2">
        <v>62.19</v>
      </c>
      <c r="F1140" s="2">
        <v>20</v>
      </c>
      <c r="G1140" s="1">
        <f t="shared" si="71"/>
        <v>0.32159511175430133</v>
      </c>
      <c r="H1140" s="2">
        <v>5</v>
      </c>
      <c r="I1140" s="26">
        <v>0.80347222222222225</v>
      </c>
      <c r="J1140" s="26">
        <v>0.84375</v>
      </c>
      <c r="K1140" s="27">
        <f>Table3[[#This Row],[Delivery Time]]-Table3[[#This Row],[Order Time]]</f>
        <v>4.0277777777777746E-2</v>
      </c>
      <c r="L1140" s="43">
        <v>58.000000000000007</v>
      </c>
      <c r="M1140" s="25" t="s">
        <v>0</v>
      </c>
      <c r="N1140" s="28"/>
      <c r="O1140" s="28" t="s">
        <v>39</v>
      </c>
      <c r="P1140" s="25" t="s">
        <v>20</v>
      </c>
    </row>
    <row r="1141" spans="1:16" x14ac:dyDescent="0.25">
      <c r="A1141" s="23">
        <f t="shared" si="72"/>
        <v>1140</v>
      </c>
      <c r="B1141" s="24">
        <v>43330</v>
      </c>
      <c r="C1141" s="18" t="str">
        <f t="shared" si="69"/>
        <v>Saturday</v>
      </c>
      <c r="D1141" s="10" t="str">
        <f t="shared" si="70"/>
        <v>Same</v>
      </c>
      <c r="E1141" s="2">
        <v>14.83</v>
      </c>
      <c r="F1141" s="2">
        <v>4</v>
      </c>
      <c r="G1141" s="1">
        <f t="shared" si="71"/>
        <v>0.26972353337828725</v>
      </c>
      <c r="H1141" s="2">
        <v>1.5</v>
      </c>
      <c r="I1141" s="26">
        <v>0.80833333333333324</v>
      </c>
      <c r="J1141" s="26">
        <v>0.85555555555555562</v>
      </c>
      <c r="K1141" s="27">
        <f>Table3[[#This Row],[Delivery Time]]-Table3[[#This Row],[Order Time]]</f>
        <v>4.7222222222222388E-2</v>
      </c>
      <c r="L1141" s="43">
        <v>68</v>
      </c>
      <c r="M1141" s="25" t="s">
        <v>0</v>
      </c>
      <c r="N1141" s="28"/>
      <c r="O1141" s="28" t="s">
        <v>39</v>
      </c>
      <c r="P1141" s="25" t="s">
        <v>20</v>
      </c>
    </row>
    <row r="1142" spans="1:16" x14ac:dyDescent="0.25">
      <c r="A1142" s="23">
        <f t="shared" si="72"/>
        <v>1141</v>
      </c>
      <c r="B1142" s="24">
        <v>43330</v>
      </c>
      <c r="C1142" s="18" t="str">
        <f t="shared" si="69"/>
        <v>Saturday</v>
      </c>
      <c r="D1142" s="10" t="str">
        <f t="shared" si="70"/>
        <v>Same</v>
      </c>
      <c r="E1142" s="2">
        <v>95.42</v>
      </c>
      <c r="F1142" s="2">
        <v>10</v>
      </c>
      <c r="G1142" s="1">
        <f t="shared" si="71"/>
        <v>0.10479983232026828</v>
      </c>
      <c r="H1142" s="2">
        <v>5</v>
      </c>
      <c r="I1142" s="26">
        <v>0.85069444444444453</v>
      </c>
      <c r="J1142" s="26">
        <v>0.89097222222222217</v>
      </c>
      <c r="K1142" s="27">
        <f>Table3[[#This Row],[Delivery Time]]-Table3[[#This Row],[Order Time]]</f>
        <v>4.0277777777777635E-2</v>
      </c>
      <c r="L1142" s="43">
        <v>58.000000000000007</v>
      </c>
      <c r="M1142" s="25" t="s">
        <v>1</v>
      </c>
      <c r="N1142" s="28"/>
      <c r="O1142" s="28" t="s">
        <v>39</v>
      </c>
      <c r="P1142" s="25" t="s">
        <v>20</v>
      </c>
    </row>
    <row r="1143" spans="1:16" x14ac:dyDescent="0.25">
      <c r="A1143" s="23">
        <f t="shared" si="72"/>
        <v>1142</v>
      </c>
      <c r="B1143" s="24">
        <v>43330</v>
      </c>
      <c r="C1143" s="18" t="str">
        <f t="shared" si="69"/>
        <v>Saturday</v>
      </c>
      <c r="D1143" s="10" t="str">
        <f t="shared" si="70"/>
        <v>Same</v>
      </c>
      <c r="E1143" s="2">
        <v>24.57</v>
      </c>
      <c r="F1143" s="2">
        <v>10</v>
      </c>
      <c r="G1143" s="1">
        <f t="shared" si="71"/>
        <v>0.40700040700040702</v>
      </c>
      <c r="H1143" s="2">
        <v>1.5</v>
      </c>
      <c r="I1143" s="26">
        <v>0.8666666666666667</v>
      </c>
      <c r="J1143" s="26">
        <v>0.90486111111111101</v>
      </c>
      <c r="K1143" s="27">
        <f>Table3[[#This Row],[Delivery Time]]-Table3[[#This Row],[Order Time]]</f>
        <v>3.8194444444444309E-2</v>
      </c>
      <c r="L1143" s="43">
        <v>54.999999999999993</v>
      </c>
      <c r="M1143" s="25" t="s">
        <v>12</v>
      </c>
      <c r="N1143" s="28"/>
      <c r="O1143" s="28" t="s">
        <v>41</v>
      </c>
      <c r="P1143" s="25" t="s">
        <v>20</v>
      </c>
    </row>
    <row r="1144" spans="1:16" x14ac:dyDescent="0.25">
      <c r="A1144" s="23">
        <f t="shared" si="72"/>
        <v>1143</v>
      </c>
      <c r="B1144" s="24">
        <v>43331</v>
      </c>
      <c r="C1144" s="18" t="str">
        <f t="shared" si="69"/>
        <v>Sunday</v>
      </c>
      <c r="D1144" s="10" t="str">
        <f t="shared" si="70"/>
        <v>Different</v>
      </c>
      <c r="E1144" s="2">
        <v>28.69</v>
      </c>
      <c r="F1144" s="2">
        <v>5</v>
      </c>
      <c r="G1144" s="1">
        <f t="shared" si="71"/>
        <v>0.17427675148135238</v>
      </c>
      <c r="H1144" s="2">
        <v>1.5</v>
      </c>
      <c r="I1144" s="26">
        <v>0.73888888888888893</v>
      </c>
      <c r="J1144" s="26">
        <v>0.75694444444444453</v>
      </c>
      <c r="K1144" s="27">
        <f>Table3[[#This Row],[Delivery Time]]-Table3[[#This Row],[Order Time]]</f>
        <v>1.8055555555555602E-2</v>
      </c>
      <c r="L1144" s="43">
        <v>26</v>
      </c>
      <c r="M1144" s="25" t="s">
        <v>0</v>
      </c>
      <c r="N1144" s="28"/>
      <c r="O1144" s="28" t="s">
        <v>41</v>
      </c>
      <c r="P1144" s="25" t="s">
        <v>20</v>
      </c>
    </row>
    <row r="1145" spans="1:16" x14ac:dyDescent="0.25">
      <c r="A1145" s="23">
        <f t="shared" si="72"/>
        <v>1144</v>
      </c>
      <c r="B1145" s="24">
        <v>43331</v>
      </c>
      <c r="C1145" s="18" t="str">
        <f t="shared" si="69"/>
        <v>Sunday</v>
      </c>
      <c r="D1145" s="10" t="str">
        <f t="shared" si="70"/>
        <v>Same</v>
      </c>
      <c r="E1145" s="2">
        <v>21.05</v>
      </c>
      <c r="F1145" s="2">
        <v>3</v>
      </c>
      <c r="G1145" s="1">
        <f t="shared" si="71"/>
        <v>0.14251781472684086</v>
      </c>
      <c r="H1145" s="2">
        <v>1.5</v>
      </c>
      <c r="I1145" s="26">
        <v>0.73888888888888893</v>
      </c>
      <c r="J1145" s="26">
        <v>0.76736111111111116</v>
      </c>
      <c r="K1145" s="27">
        <f>Table3[[#This Row],[Delivery Time]]-Table3[[#This Row],[Order Time]]</f>
        <v>2.8472222222222232E-2</v>
      </c>
      <c r="L1145" s="43">
        <v>41</v>
      </c>
      <c r="M1145" s="25" t="s">
        <v>0</v>
      </c>
      <c r="N1145" s="28"/>
      <c r="O1145" s="28" t="s">
        <v>39</v>
      </c>
      <c r="P1145" s="25" t="s">
        <v>20</v>
      </c>
    </row>
    <row r="1146" spans="1:16" x14ac:dyDescent="0.25">
      <c r="A1146" s="23">
        <f t="shared" si="72"/>
        <v>1145</v>
      </c>
      <c r="B1146" s="24">
        <v>43331</v>
      </c>
      <c r="C1146" s="18" t="str">
        <f t="shared" si="69"/>
        <v>Sunday</v>
      </c>
      <c r="D1146" s="10" t="str">
        <f t="shared" si="70"/>
        <v>Same</v>
      </c>
      <c r="E1146" s="2">
        <v>40.54</v>
      </c>
      <c r="F1146" s="2">
        <v>4</v>
      </c>
      <c r="G1146" s="1">
        <f t="shared" si="71"/>
        <v>9.8667982239763197E-2</v>
      </c>
      <c r="H1146" s="2">
        <v>1.5</v>
      </c>
      <c r="I1146" s="26">
        <v>0.80555555555555547</v>
      </c>
      <c r="J1146" s="26">
        <v>0.80555555555555547</v>
      </c>
      <c r="K1146" s="27">
        <f>Table3[[#This Row],[Delivery Time]]-Table3[[#This Row],[Order Time]]</f>
        <v>0</v>
      </c>
      <c r="L1146" s="43">
        <v>0</v>
      </c>
      <c r="M1146" s="25" t="s">
        <v>0</v>
      </c>
      <c r="N1146" s="28"/>
      <c r="O1146" s="28" t="s">
        <v>39</v>
      </c>
      <c r="P1146" s="25" t="s">
        <v>16</v>
      </c>
    </row>
    <row r="1147" spans="1:16" x14ac:dyDescent="0.25">
      <c r="A1147" s="23">
        <f t="shared" si="72"/>
        <v>1146</v>
      </c>
      <c r="B1147" s="24">
        <v>43331</v>
      </c>
      <c r="C1147" s="18" t="str">
        <f t="shared" si="69"/>
        <v>Sunday</v>
      </c>
      <c r="D1147" s="10" t="str">
        <f t="shared" si="70"/>
        <v>Same</v>
      </c>
      <c r="E1147" s="2">
        <v>26.03</v>
      </c>
      <c r="F1147" s="2">
        <v>6</v>
      </c>
      <c r="G1147" s="1">
        <f t="shared" si="71"/>
        <v>0.23050326546292738</v>
      </c>
      <c r="H1147" s="2">
        <v>1.5</v>
      </c>
      <c r="I1147" s="26">
        <v>0.77361111111111114</v>
      </c>
      <c r="J1147" s="26">
        <v>0.81805555555555554</v>
      </c>
      <c r="K1147" s="27">
        <f>Table3[[#This Row],[Delivery Time]]-Table3[[#This Row],[Order Time]]</f>
        <v>4.4444444444444398E-2</v>
      </c>
      <c r="L1147" s="43">
        <v>64</v>
      </c>
      <c r="M1147" s="25" t="s">
        <v>0</v>
      </c>
      <c r="N1147" s="28"/>
      <c r="O1147" s="28" t="s">
        <v>39</v>
      </c>
      <c r="P1147" s="25" t="s">
        <v>20</v>
      </c>
    </row>
    <row r="1148" spans="1:16" x14ac:dyDescent="0.25">
      <c r="A1148" s="23">
        <f t="shared" si="72"/>
        <v>1147</v>
      </c>
      <c r="B1148" s="24">
        <v>43331</v>
      </c>
      <c r="C1148" s="18" t="str">
        <f t="shared" si="69"/>
        <v>Sunday</v>
      </c>
      <c r="D1148" s="10" t="str">
        <f t="shared" si="70"/>
        <v>Same</v>
      </c>
      <c r="E1148" s="2">
        <v>23</v>
      </c>
      <c r="F1148" s="2">
        <v>6</v>
      </c>
      <c r="G1148" s="1">
        <f t="shared" si="71"/>
        <v>0.2608695652173913</v>
      </c>
      <c r="H1148" s="2">
        <v>1.5</v>
      </c>
      <c r="I1148" s="26">
        <v>0.78125</v>
      </c>
      <c r="J1148" s="26">
        <v>0.82638888888888884</v>
      </c>
      <c r="K1148" s="27">
        <f>Table3[[#This Row],[Delivery Time]]-Table3[[#This Row],[Order Time]]</f>
        <v>4.513888888888884E-2</v>
      </c>
      <c r="L1148" s="43">
        <v>65</v>
      </c>
      <c r="M1148" s="25" t="s">
        <v>0</v>
      </c>
      <c r="N1148" s="28"/>
      <c r="O1148" s="28" t="s">
        <v>41</v>
      </c>
      <c r="P1148" s="25" t="s">
        <v>20</v>
      </c>
    </row>
    <row r="1149" spans="1:16" x14ac:dyDescent="0.25">
      <c r="A1149" s="23">
        <f t="shared" si="72"/>
        <v>1148</v>
      </c>
      <c r="B1149" s="24">
        <v>43331</v>
      </c>
      <c r="C1149" s="18" t="str">
        <f t="shared" si="69"/>
        <v>Sunday</v>
      </c>
      <c r="D1149" s="10" t="str">
        <f t="shared" si="70"/>
        <v>Same</v>
      </c>
      <c r="E1149" s="2">
        <v>44.54</v>
      </c>
      <c r="F1149" s="2">
        <v>6</v>
      </c>
      <c r="G1149" s="1">
        <f t="shared" si="71"/>
        <v>0.13471037269869779</v>
      </c>
      <c r="H1149" s="2">
        <v>1.5</v>
      </c>
      <c r="I1149" s="26">
        <v>0.84375</v>
      </c>
      <c r="J1149" s="26">
        <v>0.86388888888888893</v>
      </c>
      <c r="K1149" s="27">
        <f>Table3[[#This Row],[Delivery Time]]-Table3[[#This Row],[Order Time]]</f>
        <v>2.0138888888888928E-2</v>
      </c>
      <c r="L1149" s="43">
        <v>29.000000000000004</v>
      </c>
      <c r="M1149" s="25" t="s">
        <v>0</v>
      </c>
      <c r="N1149" s="28"/>
      <c r="O1149" s="28" t="s">
        <v>39</v>
      </c>
      <c r="P1149" s="25" t="s">
        <v>20</v>
      </c>
    </row>
    <row r="1150" spans="1:16" x14ac:dyDescent="0.25">
      <c r="A1150" s="23">
        <f t="shared" si="72"/>
        <v>1149</v>
      </c>
      <c r="B1150" s="24">
        <v>43337</v>
      </c>
      <c r="C1150" s="18" t="str">
        <f t="shared" si="69"/>
        <v>Saturday</v>
      </c>
      <c r="D1150" s="10" t="str">
        <f t="shared" si="70"/>
        <v>Different</v>
      </c>
      <c r="E1150" s="2">
        <v>17</v>
      </c>
      <c r="F1150" s="2">
        <v>3</v>
      </c>
      <c r="G1150" s="1">
        <f t="shared" si="71"/>
        <v>0.17647058823529413</v>
      </c>
      <c r="H1150" s="2">
        <v>1.5</v>
      </c>
      <c r="I1150" s="26">
        <v>0.68958333333333333</v>
      </c>
      <c r="J1150" s="26">
        <v>0.71875</v>
      </c>
      <c r="K1150" s="27">
        <f>Table3[[#This Row],[Delivery Time]]-Table3[[#This Row],[Order Time]]</f>
        <v>2.9166666666666674E-2</v>
      </c>
      <c r="L1150" s="43">
        <v>42</v>
      </c>
      <c r="M1150" s="25" t="s">
        <v>11</v>
      </c>
      <c r="N1150" s="28"/>
      <c r="O1150" s="28" t="s">
        <v>39</v>
      </c>
      <c r="P1150" s="25" t="s">
        <v>20</v>
      </c>
    </row>
    <row r="1151" spans="1:16" x14ac:dyDescent="0.25">
      <c r="A1151" s="23">
        <f t="shared" si="72"/>
        <v>1150</v>
      </c>
      <c r="B1151" s="24">
        <v>43337</v>
      </c>
      <c r="C1151" s="18" t="str">
        <f t="shared" si="69"/>
        <v>Saturday</v>
      </c>
      <c r="D1151" s="10" t="str">
        <f t="shared" si="70"/>
        <v>Same</v>
      </c>
      <c r="E1151" s="2">
        <v>27.06</v>
      </c>
      <c r="F1151" s="2">
        <v>5</v>
      </c>
      <c r="G1151" s="1">
        <f t="shared" si="71"/>
        <v>0.18477457501847747</v>
      </c>
      <c r="H1151" s="2">
        <v>1.5</v>
      </c>
      <c r="I1151" s="26">
        <v>0.73958333333333337</v>
      </c>
      <c r="J1151" s="26">
        <v>0.76666666666666661</v>
      </c>
      <c r="K1151" s="27">
        <f>Table3[[#This Row],[Delivery Time]]-Table3[[#This Row],[Order Time]]</f>
        <v>2.7083333333333237E-2</v>
      </c>
      <c r="L1151" s="43">
        <v>39</v>
      </c>
      <c r="M1151" s="25" t="s">
        <v>11</v>
      </c>
      <c r="N1151" s="28"/>
      <c r="O1151" s="28" t="s">
        <v>39</v>
      </c>
      <c r="P1151" s="25" t="s">
        <v>20</v>
      </c>
    </row>
    <row r="1152" spans="1:16" x14ac:dyDescent="0.25">
      <c r="A1152" s="23">
        <f t="shared" si="72"/>
        <v>1151</v>
      </c>
      <c r="B1152" s="24">
        <v>43337</v>
      </c>
      <c r="C1152" s="18" t="str">
        <f t="shared" si="69"/>
        <v>Saturday</v>
      </c>
      <c r="D1152" s="10" t="str">
        <f t="shared" si="70"/>
        <v>Same</v>
      </c>
      <c r="E1152" s="2">
        <v>41.68</v>
      </c>
      <c r="F1152" s="2">
        <v>10</v>
      </c>
      <c r="G1152" s="1">
        <f t="shared" si="71"/>
        <v>0.23992322456813819</v>
      </c>
      <c r="H1152" s="2">
        <v>1.5</v>
      </c>
      <c r="I1152" s="26">
        <v>0.7402777777777777</v>
      </c>
      <c r="J1152" s="26">
        <v>0.77361111111111114</v>
      </c>
      <c r="K1152" s="27">
        <f>Table3[[#This Row],[Delivery Time]]-Table3[[#This Row],[Order Time]]</f>
        <v>3.3333333333333437E-2</v>
      </c>
      <c r="L1152" s="43">
        <v>48</v>
      </c>
      <c r="M1152" s="25" t="s">
        <v>11</v>
      </c>
      <c r="N1152" s="28"/>
      <c r="O1152" s="28" t="s">
        <v>41</v>
      </c>
      <c r="P1152" s="25" t="s">
        <v>20</v>
      </c>
    </row>
    <row r="1153" spans="1:16" x14ac:dyDescent="0.25">
      <c r="A1153" s="23">
        <f t="shared" si="72"/>
        <v>1152</v>
      </c>
      <c r="B1153" s="24">
        <v>43337</v>
      </c>
      <c r="C1153" s="18" t="str">
        <f t="shared" si="69"/>
        <v>Saturday</v>
      </c>
      <c r="D1153" s="10" t="str">
        <f t="shared" si="70"/>
        <v>Same</v>
      </c>
      <c r="E1153" s="2">
        <v>43.19</v>
      </c>
      <c r="F1153" s="2">
        <v>8</v>
      </c>
      <c r="G1153" s="1">
        <f t="shared" si="71"/>
        <v>0.1852280620514008</v>
      </c>
      <c r="H1153" s="2">
        <v>1.5</v>
      </c>
      <c r="I1153" s="26">
        <v>0.74930555555555556</v>
      </c>
      <c r="J1153" s="26">
        <v>0.78055555555555556</v>
      </c>
      <c r="K1153" s="27">
        <f>Table3[[#This Row],[Delivery Time]]-Table3[[#This Row],[Order Time]]</f>
        <v>3.125E-2</v>
      </c>
      <c r="L1153" s="43">
        <v>45</v>
      </c>
      <c r="M1153" s="25" t="s">
        <v>11</v>
      </c>
      <c r="N1153" s="28"/>
      <c r="O1153" s="28" t="s">
        <v>39</v>
      </c>
      <c r="P1153" s="25" t="s">
        <v>20</v>
      </c>
    </row>
    <row r="1154" spans="1:16" x14ac:dyDescent="0.25">
      <c r="A1154" s="23">
        <f t="shared" si="72"/>
        <v>1153</v>
      </c>
      <c r="B1154" s="24">
        <v>43337</v>
      </c>
      <c r="C1154" s="18" t="str">
        <f t="shared" si="69"/>
        <v>Saturday</v>
      </c>
      <c r="D1154" s="10" t="str">
        <f t="shared" si="70"/>
        <v>Same</v>
      </c>
      <c r="E1154" s="2">
        <v>24.3</v>
      </c>
      <c r="F1154" s="2">
        <v>3</v>
      </c>
      <c r="G1154" s="1">
        <f t="shared" si="71"/>
        <v>0.12345679012345678</v>
      </c>
      <c r="H1154" s="2">
        <v>1.5</v>
      </c>
      <c r="I1154" s="26">
        <v>0.78611111111111109</v>
      </c>
      <c r="J1154" s="26">
        <v>0.80972222222222223</v>
      </c>
      <c r="K1154" s="27">
        <f>Table3[[#This Row],[Delivery Time]]-Table3[[#This Row],[Order Time]]</f>
        <v>2.3611111111111138E-2</v>
      </c>
      <c r="L1154" s="43">
        <v>34</v>
      </c>
      <c r="M1154" s="25" t="s">
        <v>11</v>
      </c>
      <c r="N1154" s="28"/>
      <c r="O1154" s="28" t="s">
        <v>39</v>
      </c>
      <c r="P1154" s="25" t="s">
        <v>20</v>
      </c>
    </row>
    <row r="1155" spans="1:16" x14ac:dyDescent="0.25">
      <c r="A1155" s="23">
        <f t="shared" si="72"/>
        <v>1154</v>
      </c>
      <c r="B1155" s="24">
        <v>43337</v>
      </c>
      <c r="C1155" s="18" t="str">
        <f t="shared" si="69"/>
        <v>Saturday</v>
      </c>
      <c r="D1155" s="10" t="str">
        <f t="shared" si="70"/>
        <v>Same</v>
      </c>
      <c r="E1155" s="2">
        <v>35.61</v>
      </c>
      <c r="F1155" s="2">
        <v>6</v>
      </c>
      <c r="G1155" s="1">
        <f t="shared" si="71"/>
        <v>0.16849199663016007</v>
      </c>
      <c r="H1155" s="2">
        <v>1.5</v>
      </c>
      <c r="I1155" s="26">
        <v>0.7909722222222223</v>
      </c>
      <c r="J1155" s="26">
        <v>0.81874999999999998</v>
      </c>
      <c r="K1155" s="27">
        <f>Table3[[#This Row],[Delivery Time]]-Table3[[#This Row],[Order Time]]</f>
        <v>2.7777777777777679E-2</v>
      </c>
      <c r="L1155" s="43">
        <v>40</v>
      </c>
      <c r="M1155" s="25" t="s">
        <v>11</v>
      </c>
      <c r="N1155" s="28"/>
      <c r="O1155" s="28" t="s">
        <v>39</v>
      </c>
      <c r="P1155" s="25" t="s">
        <v>20</v>
      </c>
    </row>
    <row r="1156" spans="1:16" x14ac:dyDescent="0.25">
      <c r="A1156" s="23">
        <f t="shared" si="72"/>
        <v>1155</v>
      </c>
      <c r="B1156" s="24">
        <v>43337</v>
      </c>
      <c r="C1156" s="18" t="str">
        <f t="shared" si="69"/>
        <v>Saturday</v>
      </c>
      <c r="D1156" s="10" t="str">
        <f t="shared" si="70"/>
        <v>Same</v>
      </c>
      <c r="E1156" s="2">
        <v>35.130000000000003</v>
      </c>
      <c r="F1156" s="2">
        <v>3</v>
      </c>
      <c r="G1156" s="1">
        <f t="shared" si="71"/>
        <v>8.5397096498719044E-2</v>
      </c>
      <c r="H1156" s="2">
        <v>5</v>
      </c>
      <c r="I1156" s="26">
        <v>0.82916666666666661</v>
      </c>
      <c r="J1156" s="26">
        <v>0.85138888888888886</v>
      </c>
      <c r="K1156" s="27">
        <f>Table3[[#This Row],[Delivery Time]]-Table3[[#This Row],[Order Time]]</f>
        <v>2.2222222222222254E-2</v>
      </c>
      <c r="L1156" s="43">
        <v>32</v>
      </c>
      <c r="M1156" s="25" t="s">
        <v>36</v>
      </c>
      <c r="N1156" s="28"/>
      <c r="O1156" s="28" t="s">
        <v>39</v>
      </c>
      <c r="P1156" s="25" t="s">
        <v>20</v>
      </c>
    </row>
    <row r="1157" spans="1:16" x14ac:dyDescent="0.25">
      <c r="A1157" s="23">
        <f t="shared" si="72"/>
        <v>1156</v>
      </c>
      <c r="B1157" s="24">
        <v>43343</v>
      </c>
      <c r="C1157" s="18" t="str">
        <f t="shared" si="69"/>
        <v>Friday</v>
      </c>
      <c r="D1157" s="10" t="str">
        <f t="shared" si="70"/>
        <v>Different</v>
      </c>
      <c r="E1157" s="2">
        <v>32.1</v>
      </c>
      <c r="F1157" s="2">
        <v>10</v>
      </c>
      <c r="G1157" s="1">
        <f t="shared" si="71"/>
        <v>0.3115264797507788</v>
      </c>
      <c r="H1157" s="2">
        <v>5</v>
      </c>
      <c r="I1157" s="26">
        <v>0.74722222222222223</v>
      </c>
      <c r="J1157" s="26">
        <v>0.78194444444444444</v>
      </c>
      <c r="K1157" s="27">
        <f>Table3[[#This Row],[Delivery Time]]-Table3[[#This Row],[Order Time]]</f>
        <v>3.472222222222221E-2</v>
      </c>
      <c r="L1157" s="43">
        <v>50</v>
      </c>
      <c r="M1157" s="25" t="s">
        <v>12</v>
      </c>
      <c r="N1157" s="28"/>
      <c r="O1157" s="28" t="s">
        <v>39</v>
      </c>
      <c r="P1157" s="25" t="s">
        <v>20</v>
      </c>
    </row>
    <row r="1158" spans="1:16" x14ac:dyDescent="0.25">
      <c r="A1158" s="23">
        <f t="shared" si="72"/>
        <v>1157</v>
      </c>
      <c r="B1158" s="24">
        <v>43343</v>
      </c>
      <c r="C1158" s="18" t="str">
        <f t="shared" ref="C1158:C1221" si="73">TEXT(B1158,"dddd")</f>
        <v>Friday</v>
      </c>
      <c r="D1158" s="10" t="str">
        <f t="shared" ref="D1158:D1221" si="74">IF(B1157=B1158, "Same", "Different")</f>
        <v>Same</v>
      </c>
      <c r="E1158" s="2">
        <v>49.25</v>
      </c>
      <c r="F1158" s="2">
        <v>6</v>
      </c>
      <c r="G1158" s="1">
        <f t="shared" ref="G1158:G1221" si="75">F1158/E1158</f>
        <v>0.12182741116751269</v>
      </c>
      <c r="H1158" s="2">
        <v>1.5</v>
      </c>
      <c r="I1158" s="26">
        <v>0.74930555555555556</v>
      </c>
      <c r="J1158" s="26">
        <v>0.79236111111111107</v>
      </c>
      <c r="K1158" s="27">
        <f>Table3[[#This Row],[Delivery Time]]-Table3[[#This Row],[Order Time]]</f>
        <v>4.3055555555555514E-2</v>
      </c>
      <c r="L1158" s="43">
        <v>62.000000000000007</v>
      </c>
      <c r="M1158" s="25" t="s">
        <v>0</v>
      </c>
      <c r="N1158" s="28" t="s">
        <v>24</v>
      </c>
      <c r="O1158" s="28" t="s">
        <v>39</v>
      </c>
      <c r="P1158" s="25" t="s">
        <v>20</v>
      </c>
    </row>
    <row r="1159" spans="1:16" x14ac:dyDescent="0.25">
      <c r="A1159" s="23">
        <f t="shared" si="72"/>
        <v>1158</v>
      </c>
      <c r="B1159" s="24">
        <v>43343</v>
      </c>
      <c r="C1159" s="18" t="str">
        <f t="shared" si="73"/>
        <v>Friday</v>
      </c>
      <c r="D1159" s="10" t="str">
        <f t="shared" si="74"/>
        <v>Same</v>
      </c>
      <c r="E1159" s="2">
        <v>50.55</v>
      </c>
      <c r="F1159" s="2">
        <v>8</v>
      </c>
      <c r="G1159" s="1">
        <f t="shared" si="75"/>
        <v>0.15825914935707222</v>
      </c>
      <c r="H1159" s="2">
        <v>1.5</v>
      </c>
      <c r="I1159" s="26">
        <v>0.76041666666666663</v>
      </c>
      <c r="J1159" s="26">
        <v>0.79722222222222217</v>
      </c>
      <c r="K1159" s="27">
        <f>Table3[[#This Row],[Delivery Time]]-Table3[[#This Row],[Order Time]]</f>
        <v>3.6805555555555536E-2</v>
      </c>
      <c r="L1159" s="43">
        <v>53</v>
      </c>
      <c r="M1159" s="25" t="s">
        <v>0</v>
      </c>
      <c r="N1159" s="28" t="s">
        <v>24</v>
      </c>
      <c r="O1159" s="28" t="s">
        <v>39</v>
      </c>
      <c r="P1159" s="25" t="s">
        <v>20</v>
      </c>
    </row>
    <row r="1160" spans="1:16" x14ac:dyDescent="0.25">
      <c r="A1160" s="23">
        <f t="shared" si="72"/>
        <v>1159</v>
      </c>
      <c r="B1160" s="24">
        <v>43343</v>
      </c>
      <c r="C1160" s="18" t="str">
        <f t="shared" si="73"/>
        <v>Friday</v>
      </c>
      <c r="D1160" s="10" t="str">
        <f t="shared" si="74"/>
        <v>Same</v>
      </c>
      <c r="E1160" s="2">
        <v>20.239999999999998</v>
      </c>
      <c r="F1160" s="2">
        <v>5</v>
      </c>
      <c r="G1160" s="1">
        <f t="shared" si="75"/>
        <v>0.24703557312252966</v>
      </c>
      <c r="H1160" s="2">
        <v>1.5</v>
      </c>
      <c r="I1160" s="26">
        <v>0.75624999999999998</v>
      </c>
      <c r="J1160" s="26">
        <v>0.80763888888888891</v>
      </c>
      <c r="K1160" s="27">
        <f>Table3[[#This Row],[Delivery Time]]-Table3[[#This Row],[Order Time]]</f>
        <v>5.1388888888888928E-2</v>
      </c>
      <c r="L1160" s="43">
        <v>74</v>
      </c>
      <c r="M1160" s="25" t="s">
        <v>0</v>
      </c>
      <c r="N1160" s="28" t="s">
        <v>22</v>
      </c>
      <c r="O1160" s="28" t="s">
        <v>39</v>
      </c>
      <c r="P1160" s="25" t="s">
        <v>20</v>
      </c>
    </row>
    <row r="1161" spans="1:16" x14ac:dyDescent="0.25">
      <c r="A1161" s="23">
        <f t="shared" si="72"/>
        <v>1160</v>
      </c>
      <c r="B1161" s="24">
        <v>43343</v>
      </c>
      <c r="C1161" s="18" t="str">
        <f t="shared" si="73"/>
        <v>Friday</v>
      </c>
      <c r="D1161" s="10" t="str">
        <f t="shared" si="74"/>
        <v>Same</v>
      </c>
      <c r="E1161" s="2">
        <v>101.3</v>
      </c>
      <c r="F1161" s="2">
        <v>15</v>
      </c>
      <c r="G1161" s="1">
        <f t="shared" si="75"/>
        <v>0.14807502467917077</v>
      </c>
      <c r="H1161" s="2">
        <v>1.5</v>
      </c>
      <c r="I1161" s="26">
        <v>0.81597222222222221</v>
      </c>
      <c r="J1161" s="26">
        <v>0.84722222222222221</v>
      </c>
      <c r="K1161" s="27">
        <f>Table3[[#This Row],[Delivery Time]]-Table3[[#This Row],[Order Time]]</f>
        <v>3.125E-2</v>
      </c>
      <c r="L1161" s="43">
        <v>45</v>
      </c>
      <c r="M1161" s="25" t="s">
        <v>0</v>
      </c>
      <c r="N1161" s="28"/>
      <c r="O1161" s="28" t="s">
        <v>39</v>
      </c>
      <c r="P1161" s="25" t="s">
        <v>20</v>
      </c>
    </row>
    <row r="1162" spans="1:16" x14ac:dyDescent="0.25">
      <c r="A1162" s="23">
        <f t="shared" si="72"/>
        <v>1161</v>
      </c>
      <c r="B1162" s="24">
        <v>43343</v>
      </c>
      <c r="C1162" s="18" t="str">
        <f t="shared" si="73"/>
        <v>Friday</v>
      </c>
      <c r="D1162" s="10" t="str">
        <f t="shared" si="74"/>
        <v>Same</v>
      </c>
      <c r="E1162" s="2">
        <v>38.65</v>
      </c>
      <c r="F1162" s="2">
        <v>10</v>
      </c>
      <c r="G1162" s="1">
        <f t="shared" si="75"/>
        <v>0.25873221216041398</v>
      </c>
      <c r="H1162" s="2">
        <v>5</v>
      </c>
      <c r="I1162" s="26">
        <v>0.8222222222222223</v>
      </c>
      <c r="J1162" s="26">
        <v>0.85486111111111107</v>
      </c>
      <c r="K1162" s="27">
        <f>Table3[[#This Row],[Delivery Time]]-Table3[[#This Row],[Order Time]]</f>
        <v>3.2638888888888773E-2</v>
      </c>
      <c r="L1162" s="43">
        <v>47.000000000000007</v>
      </c>
      <c r="M1162" s="25" t="s">
        <v>0</v>
      </c>
      <c r="N1162" s="28"/>
      <c r="O1162" s="28" t="s">
        <v>39</v>
      </c>
      <c r="P1162" s="25" t="s">
        <v>20</v>
      </c>
    </row>
    <row r="1163" spans="1:16" x14ac:dyDescent="0.25">
      <c r="A1163" s="23">
        <f t="shared" si="72"/>
        <v>1162</v>
      </c>
      <c r="B1163" s="24">
        <v>43343</v>
      </c>
      <c r="C1163" s="18" t="str">
        <f t="shared" si="73"/>
        <v>Friday</v>
      </c>
      <c r="D1163" s="10" t="str">
        <f t="shared" si="74"/>
        <v>Same</v>
      </c>
      <c r="E1163" s="2">
        <v>18.350000000000001</v>
      </c>
      <c r="F1163" s="2">
        <v>5</v>
      </c>
      <c r="G1163" s="1">
        <f t="shared" si="75"/>
        <v>0.27247956403269752</v>
      </c>
      <c r="H1163" s="2">
        <v>1.5</v>
      </c>
      <c r="I1163" s="26">
        <v>0.8256944444444444</v>
      </c>
      <c r="J1163" s="26">
        <v>0.8618055555555556</v>
      </c>
      <c r="K1163" s="27">
        <f>Table3[[#This Row],[Delivery Time]]-Table3[[#This Row],[Order Time]]</f>
        <v>3.6111111111111205E-2</v>
      </c>
      <c r="L1163" s="43">
        <v>52</v>
      </c>
      <c r="M1163" s="25" t="s">
        <v>0</v>
      </c>
      <c r="N1163" s="28"/>
      <c r="O1163" s="28" t="s">
        <v>39</v>
      </c>
      <c r="P1163" s="25" t="s">
        <v>20</v>
      </c>
    </row>
    <row r="1164" spans="1:16" x14ac:dyDescent="0.25">
      <c r="A1164" s="23">
        <f t="shared" si="72"/>
        <v>1163</v>
      </c>
      <c r="B1164" s="24">
        <v>43343</v>
      </c>
      <c r="C1164" s="18" t="str">
        <f t="shared" si="73"/>
        <v>Friday</v>
      </c>
      <c r="D1164" s="10" t="str">
        <f t="shared" si="74"/>
        <v>Same</v>
      </c>
      <c r="E1164" s="2">
        <v>40</v>
      </c>
      <c r="F1164" s="2">
        <v>6</v>
      </c>
      <c r="G1164" s="1">
        <f t="shared" si="75"/>
        <v>0.15</v>
      </c>
      <c r="H1164" s="2">
        <v>1.5</v>
      </c>
      <c r="I1164" s="26">
        <v>0.85972222222222217</v>
      </c>
      <c r="J1164" s="26">
        <v>0.88958333333333339</v>
      </c>
      <c r="K1164" s="27">
        <f>Table3[[#This Row],[Delivery Time]]-Table3[[#This Row],[Order Time]]</f>
        <v>2.9861111111111227E-2</v>
      </c>
      <c r="L1164" s="43">
        <v>43</v>
      </c>
      <c r="M1164" s="25" t="s">
        <v>0</v>
      </c>
      <c r="N1164" s="28" t="s">
        <v>26</v>
      </c>
      <c r="O1164" s="28" t="s">
        <v>39</v>
      </c>
      <c r="P1164" s="25" t="s">
        <v>20</v>
      </c>
    </row>
    <row r="1165" spans="1:16" x14ac:dyDescent="0.25">
      <c r="A1165" s="23">
        <f t="shared" si="72"/>
        <v>1164</v>
      </c>
      <c r="B1165" s="24">
        <v>43343</v>
      </c>
      <c r="C1165" s="18" t="str">
        <f t="shared" si="73"/>
        <v>Friday</v>
      </c>
      <c r="D1165" s="10" t="str">
        <f t="shared" si="74"/>
        <v>Same</v>
      </c>
      <c r="E1165" s="2">
        <v>28.9</v>
      </c>
      <c r="F1165" s="2">
        <v>5</v>
      </c>
      <c r="G1165" s="1">
        <f t="shared" si="75"/>
        <v>0.17301038062283738</v>
      </c>
      <c r="H1165" s="2">
        <v>1.5</v>
      </c>
      <c r="I1165" s="26">
        <v>0.85902777777777783</v>
      </c>
      <c r="J1165" s="26">
        <v>0.89444444444444438</v>
      </c>
      <c r="K1165" s="27">
        <f>Table3[[#This Row],[Delivery Time]]-Table3[[#This Row],[Order Time]]</f>
        <v>3.5416666666666541E-2</v>
      </c>
      <c r="L1165" s="43">
        <v>51</v>
      </c>
      <c r="M1165" s="25" t="s">
        <v>0</v>
      </c>
      <c r="N1165" s="28" t="s">
        <v>26</v>
      </c>
      <c r="O1165" s="28" t="s">
        <v>39</v>
      </c>
      <c r="P1165" s="25" t="s">
        <v>20</v>
      </c>
    </row>
    <row r="1166" spans="1:16" x14ac:dyDescent="0.25">
      <c r="A1166" s="23">
        <f t="shared" si="72"/>
        <v>1165</v>
      </c>
      <c r="B1166" s="24">
        <v>43343</v>
      </c>
      <c r="C1166" s="18" t="str">
        <f t="shared" si="73"/>
        <v>Friday</v>
      </c>
      <c r="D1166" s="10" t="str">
        <f t="shared" si="74"/>
        <v>Same</v>
      </c>
      <c r="E1166" s="2">
        <v>53.75</v>
      </c>
      <c r="F1166" s="2">
        <v>10</v>
      </c>
      <c r="G1166" s="1">
        <f t="shared" si="75"/>
        <v>0.18604651162790697</v>
      </c>
      <c r="H1166" s="2">
        <v>1.5</v>
      </c>
      <c r="I1166" s="26">
        <v>0.87013888888888891</v>
      </c>
      <c r="J1166" s="26">
        <v>0.90416666666666667</v>
      </c>
      <c r="K1166" s="27">
        <f>Table3[[#This Row],[Delivery Time]]-Table3[[#This Row],[Order Time]]</f>
        <v>3.4027777777777768E-2</v>
      </c>
      <c r="L1166" s="43">
        <v>49</v>
      </c>
      <c r="M1166" s="25" t="s">
        <v>0</v>
      </c>
      <c r="N1166" s="28"/>
      <c r="O1166" s="28" t="s">
        <v>39</v>
      </c>
      <c r="P1166" s="25" t="s">
        <v>20</v>
      </c>
    </row>
    <row r="1167" spans="1:16" x14ac:dyDescent="0.25">
      <c r="A1167" s="23">
        <f t="shared" si="72"/>
        <v>1166</v>
      </c>
      <c r="B1167" s="24">
        <v>43344</v>
      </c>
      <c r="C1167" s="18" t="str">
        <f t="shared" si="73"/>
        <v>Saturday</v>
      </c>
      <c r="D1167" s="10" t="str">
        <f t="shared" si="74"/>
        <v>Different</v>
      </c>
      <c r="E1167" s="2">
        <v>28.63</v>
      </c>
      <c r="F1167" s="2">
        <v>7</v>
      </c>
      <c r="G1167" s="1">
        <f t="shared" si="75"/>
        <v>0.24449877750611249</v>
      </c>
      <c r="H1167" s="2">
        <v>1.5</v>
      </c>
      <c r="I1167" s="26">
        <v>0.75</v>
      </c>
      <c r="J1167" s="26">
        <v>0.77638888888888891</v>
      </c>
      <c r="K1167" s="27">
        <f>Table3[[#This Row],[Delivery Time]]-Table3[[#This Row],[Order Time]]</f>
        <v>2.6388888888888906E-2</v>
      </c>
      <c r="L1167" s="43">
        <v>38</v>
      </c>
      <c r="M1167" s="25" t="s">
        <v>11</v>
      </c>
      <c r="N1167" s="28"/>
      <c r="O1167" s="28" t="s">
        <v>39</v>
      </c>
      <c r="P1167" s="25" t="s">
        <v>20</v>
      </c>
    </row>
    <row r="1168" spans="1:16" x14ac:dyDescent="0.25">
      <c r="A1168" s="23">
        <f t="shared" si="72"/>
        <v>1167</v>
      </c>
      <c r="B1168" s="24">
        <v>43344</v>
      </c>
      <c r="C1168" s="18" t="str">
        <f t="shared" si="73"/>
        <v>Saturday</v>
      </c>
      <c r="D1168" s="10" t="str">
        <f t="shared" si="74"/>
        <v>Same</v>
      </c>
      <c r="E1168" s="2">
        <v>68.09</v>
      </c>
      <c r="F1168" s="2">
        <v>6.91</v>
      </c>
      <c r="G1168" s="1">
        <f t="shared" si="75"/>
        <v>0.1014833308855926</v>
      </c>
      <c r="H1168" s="2">
        <v>1.5</v>
      </c>
      <c r="I1168" s="26">
        <v>0.75555555555555554</v>
      </c>
      <c r="J1168" s="26">
        <v>0.78611111111111109</v>
      </c>
      <c r="K1168" s="27">
        <f>Table3[[#This Row],[Delivery Time]]-Table3[[#This Row],[Order Time]]</f>
        <v>3.0555555555555558E-2</v>
      </c>
      <c r="L1168" s="43">
        <v>44</v>
      </c>
      <c r="M1168" s="25" t="s">
        <v>11</v>
      </c>
      <c r="N1168" s="28"/>
      <c r="O1168" s="28" t="s">
        <v>39</v>
      </c>
      <c r="P1168" s="25" t="s">
        <v>20</v>
      </c>
    </row>
    <row r="1169" spans="1:16" x14ac:dyDescent="0.25">
      <c r="A1169" s="23">
        <f t="shared" si="72"/>
        <v>1168</v>
      </c>
      <c r="B1169" s="24">
        <v>43344</v>
      </c>
      <c r="C1169" s="18" t="str">
        <f t="shared" si="73"/>
        <v>Saturday</v>
      </c>
      <c r="D1169" s="10" t="str">
        <f t="shared" si="74"/>
        <v>Same</v>
      </c>
      <c r="E1169" s="2">
        <v>36.43</v>
      </c>
      <c r="F1169" s="2">
        <v>10</v>
      </c>
      <c r="G1169" s="1">
        <f t="shared" si="75"/>
        <v>0.27449903925336261</v>
      </c>
      <c r="H1169" s="2">
        <v>1.5</v>
      </c>
      <c r="I1169" s="26">
        <v>0.75763888888888886</v>
      </c>
      <c r="J1169" s="26">
        <v>0.79861111111111116</v>
      </c>
      <c r="K1169" s="27">
        <f>Table3[[#This Row],[Delivery Time]]-Table3[[#This Row],[Order Time]]</f>
        <v>4.0972222222222299E-2</v>
      </c>
      <c r="L1169" s="43">
        <v>59</v>
      </c>
      <c r="M1169" s="25" t="s">
        <v>11</v>
      </c>
      <c r="N1169" s="28"/>
      <c r="O1169" s="28" t="s">
        <v>41</v>
      </c>
      <c r="P1169" s="25" t="s">
        <v>20</v>
      </c>
    </row>
    <row r="1170" spans="1:16" x14ac:dyDescent="0.25">
      <c r="A1170" s="23">
        <f t="shared" si="72"/>
        <v>1169</v>
      </c>
      <c r="B1170" s="24">
        <v>43344</v>
      </c>
      <c r="C1170" s="18" t="str">
        <f t="shared" si="73"/>
        <v>Saturday</v>
      </c>
      <c r="D1170" s="10" t="str">
        <f t="shared" si="74"/>
        <v>Same</v>
      </c>
      <c r="E1170" s="2">
        <v>90.39</v>
      </c>
      <c r="F1170" s="2">
        <v>20</v>
      </c>
      <c r="G1170" s="1">
        <f t="shared" si="75"/>
        <v>0.22126341409447947</v>
      </c>
      <c r="H1170" s="2">
        <v>1.5</v>
      </c>
      <c r="I1170" s="26">
        <v>0.79236111111111107</v>
      </c>
      <c r="J1170" s="26">
        <v>0.8208333333333333</v>
      </c>
      <c r="K1170" s="27">
        <f>Table3[[#This Row],[Delivery Time]]-Table3[[#This Row],[Order Time]]</f>
        <v>2.8472222222222232E-2</v>
      </c>
      <c r="L1170" s="43">
        <v>41</v>
      </c>
      <c r="M1170" s="25" t="s">
        <v>12</v>
      </c>
      <c r="N1170" s="28"/>
      <c r="O1170" s="28" t="s">
        <v>39</v>
      </c>
      <c r="P1170" s="25" t="s">
        <v>20</v>
      </c>
    </row>
    <row r="1171" spans="1:16" x14ac:dyDescent="0.25">
      <c r="A1171" s="23">
        <f t="shared" si="72"/>
        <v>1170</v>
      </c>
      <c r="B1171" s="24">
        <v>43344</v>
      </c>
      <c r="C1171" s="18" t="str">
        <f t="shared" si="73"/>
        <v>Saturday</v>
      </c>
      <c r="D1171" s="10" t="str">
        <f t="shared" si="74"/>
        <v>Same</v>
      </c>
      <c r="E1171" s="2">
        <v>39.46</v>
      </c>
      <c r="F1171" s="2">
        <v>5</v>
      </c>
      <c r="G1171" s="1">
        <f t="shared" si="75"/>
        <v>0.12671059300557527</v>
      </c>
      <c r="H1171" s="2">
        <v>5</v>
      </c>
      <c r="I1171" s="26">
        <v>0.79999999999999993</v>
      </c>
      <c r="J1171" s="26">
        <v>0.82708333333333339</v>
      </c>
      <c r="K1171" s="27">
        <f>Table3[[#This Row],[Delivery Time]]-Table3[[#This Row],[Order Time]]</f>
        <v>2.7083333333333459E-2</v>
      </c>
      <c r="L1171" s="43">
        <v>39</v>
      </c>
      <c r="M1171" s="25" t="s">
        <v>12</v>
      </c>
      <c r="N1171" s="28"/>
      <c r="O1171" s="28" t="s">
        <v>39</v>
      </c>
      <c r="P1171" s="25" t="s">
        <v>20</v>
      </c>
    </row>
    <row r="1172" spans="1:16" x14ac:dyDescent="0.25">
      <c r="A1172" s="23">
        <f t="shared" si="72"/>
        <v>1171</v>
      </c>
      <c r="B1172" s="24">
        <v>43344</v>
      </c>
      <c r="C1172" s="18" t="str">
        <f t="shared" si="73"/>
        <v>Saturday</v>
      </c>
      <c r="D1172" s="10" t="str">
        <f t="shared" si="74"/>
        <v>Same</v>
      </c>
      <c r="E1172" s="2">
        <v>30.85</v>
      </c>
      <c r="F1172" s="2">
        <v>5</v>
      </c>
      <c r="G1172" s="1">
        <f t="shared" si="75"/>
        <v>0.16207455429497569</v>
      </c>
      <c r="H1172" s="2">
        <v>1.5</v>
      </c>
      <c r="I1172" s="26">
        <v>0.7944444444444444</v>
      </c>
      <c r="J1172" s="26">
        <v>0.83333333333333337</v>
      </c>
      <c r="K1172" s="27">
        <f>Table3[[#This Row],[Delivery Time]]-Table3[[#This Row],[Order Time]]</f>
        <v>3.8888888888888973E-2</v>
      </c>
      <c r="L1172" s="43">
        <v>56</v>
      </c>
      <c r="M1172" s="25" t="s">
        <v>12</v>
      </c>
      <c r="N1172" s="28"/>
      <c r="O1172" s="28" t="s">
        <v>40</v>
      </c>
      <c r="P1172" s="25" t="s">
        <v>20</v>
      </c>
    </row>
    <row r="1173" spans="1:16" x14ac:dyDescent="0.25">
      <c r="A1173" s="23">
        <f t="shared" si="72"/>
        <v>1172</v>
      </c>
      <c r="B1173" s="24">
        <v>43344</v>
      </c>
      <c r="C1173" s="18" t="str">
        <f t="shared" si="73"/>
        <v>Saturday</v>
      </c>
      <c r="D1173" s="10" t="str">
        <f t="shared" si="74"/>
        <v>Same</v>
      </c>
      <c r="E1173" s="2">
        <v>33.56</v>
      </c>
      <c r="F1173" s="2">
        <v>5</v>
      </c>
      <c r="G1173" s="1">
        <f t="shared" si="75"/>
        <v>0.14898688915375446</v>
      </c>
      <c r="H1173" s="2">
        <v>5</v>
      </c>
      <c r="I1173" s="26">
        <v>0.82847222222222217</v>
      </c>
      <c r="J1173" s="26">
        <v>0.85833333333333339</v>
      </c>
      <c r="K1173" s="27">
        <f>Table3[[#This Row],[Delivery Time]]-Table3[[#This Row],[Order Time]]</f>
        <v>2.9861111111111227E-2</v>
      </c>
      <c r="L1173" s="43">
        <v>43</v>
      </c>
      <c r="M1173" s="25" t="s">
        <v>12</v>
      </c>
      <c r="N1173" s="28"/>
      <c r="O1173" s="28" t="s">
        <v>39</v>
      </c>
      <c r="P1173" s="25" t="s">
        <v>20</v>
      </c>
    </row>
    <row r="1174" spans="1:16" x14ac:dyDescent="0.25">
      <c r="A1174" s="23">
        <f t="shared" si="72"/>
        <v>1173</v>
      </c>
      <c r="B1174" s="24">
        <v>43344</v>
      </c>
      <c r="C1174" s="18" t="str">
        <f t="shared" si="73"/>
        <v>Saturday</v>
      </c>
      <c r="D1174" s="10" t="str">
        <f t="shared" si="74"/>
        <v>Same</v>
      </c>
      <c r="E1174" s="2">
        <v>49.47</v>
      </c>
      <c r="F1174" s="2">
        <v>7</v>
      </c>
      <c r="G1174" s="1">
        <f t="shared" si="75"/>
        <v>0.14149989892864362</v>
      </c>
      <c r="H1174" s="2">
        <v>5</v>
      </c>
      <c r="I1174" s="26">
        <v>0.8305555555555556</v>
      </c>
      <c r="J1174" s="26">
        <v>0.86111111111111116</v>
      </c>
      <c r="K1174" s="27">
        <f>Table3[[#This Row],[Delivery Time]]-Table3[[#This Row],[Order Time]]</f>
        <v>3.0555555555555558E-2</v>
      </c>
      <c r="L1174" s="43">
        <v>44</v>
      </c>
      <c r="M1174" s="25" t="s">
        <v>0</v>
      </c>
      <c r="N1174" s="28"/>
      <c r="O1174" s="28" t="s">
        <v>39</v>
      </c>
      <c r="P1174" s="25" t="s">
        <v>20</v>
      </c>
    </row>
    <row r="1175" spans="1:16" x14ac:dyDescent="0.25">
      <c r="A1175" s="23">
        <f t="shared" si="72"/>
        <v>1174</v>
      </c>
      <c r="B1175" s="24">
        <v>43344</v>
      </c>
      <c r="C1175" s="18" t="str">
        <f t="shared" si="73"/>
        <v>Saturday</v>
      </c>
      <c r="D1175" s="10" t="str">
        <f t="shared" si="74"/>
        <v>Same</v>
      </c>
      <c r="E1175" s="2">
        <v>171.79</v>
      </c>
      <c r="F1175" s="2">
        <v>40</v>
      </c>
      <c r="G1175" s="1">
        <f t="shared" si="75"/>
        <v>0.23284242388963269</v>
      </c>
      <c r="H1175" s="2">
        <v>5</v>
      </c>
      <c r="I1175" s="26">
        <v>0.86875000000000002</v>
      </c>
      <c r="J1175" s="26">
        <v>0.90416666666666667</v>
      </c>
      <c r="K1175" s="27">
        <f>Table3[[#This Row],[Delivery Time]]-Table3[[#This Row],[Order Time]]</f>
        <v>3.5416666666666652E-2</v>
      </c>
      <c r="L1175" s="43">
        <v>51</v>
      </c>
      <c r="M1175" s="25" t="s">
        <v>1</v>
      </c>
      <c r="N1175" s="28"/>
      <c r="O1175" s="28" t="s">
        <v>39</v>
      </c>
      <c r="P1175" s="25" t="s">
        <v>20</v>
      </c>
    </row>
    <row r="1176" spans="1:16" x14ac:dyDescent="0.25">
      <c r="A1176" s="23">
        <f t="shared" ref="A1176:A1228" si="76">ROW(A1175)</f>
        <v>1175</v>
      </c>
      <c r="B1176" s="24">
        <v>43346</v>
      </c>
      <c r="C1176" s="18" t="str">
        <f t="shared" si="73"/>
        <v>Monday</v>
      </c>
      <c r="D1176" s="10" t="str">
        <f t="shared" si="74"/>
        <v>Different</v>
      </c>
      <c r="E1176" s="2">
        <v>18.89</v>
      </c>
      <c r="F1176" s="2">
        <v>4</v>
      </c>
      <c r="G1176" s="1">
        <f t="shared" si="75"/>
        <v>0.21175224986765484</v>
      </c>
      <c r="H1176" s="2">
        <v>1.5</v>
      </c>
      <c r="I1176" s="26">
        <v>0.71319444444444446</v>
      </c>
      <c r="J1176" s="26">
        <v>0.73541666666666661</v>
      </c>
      <c r="K1176" s="27">
        <f>Table3[[#This Row],[Delivery Time]]-Table3[[#This Row],[Order Time]]</f>
        <v>2.2222222222222143E-2</v>
      </c>
      <c r="L1176" s="43">
        <v>32</v>
      </c>
      <c r="M1176" s="25" t="s">
        <v>0</v>
      </c>
      <c r="N1176" s="28"/>
      <c r="O1176" s="28" t="s">
        <v>41</v>
      </c>
      <c r="P1176" s="25" t="s">
        <v>20</v>
      </c>
    </row>
    <row r="1177" spans="1:16" x14ac:dyDescent="0.25">
      <c r="A1177" s="23">
        <f t="shared" si="76"/>
        <v>1176</v>
      </c>
      <c r="B1177" s="24">
        <v>43346</v>
      </c>
      <c r="C1177" s="18" t="str">
        <f t="shared" si="73"/>
        <v>Monday</v>
      </c>
      <c r="D1177" s="10" t="str">
        <f t="shared" si="74"/>
        <v>Same</v>
      </c>
      <c r="E1177" s="2">
        <v>39.97</v>
      </c>
      <c r="F1177" s="2">
        <v>4.2300000000000004</v>
      </c>
      <c r="G1177" s="1">
        <f t="shared" si="75"/>
        <v>0.10582937202902178</v>
      </c>
      <c r="H1177" s="2">
        <v>1.5</v>
      </c>
      <c r="I1177" s="26">
        <v>0.70763888888888893</v>
      </c>
      <c r="J1177" s="26">
        <v>0.75416666666666676</v>
      </c>
      <c r="K1177" s="27">
        <f>Table3[[#This Row],[Delivery Time]]-Table3[[#This Row],[Order Time]]</f>
        <v>4.6527777777777835E-2</v>
      </c>
      <c r="L1177" s="43">
        <v>67</v>
      </c>
      <c r="M1177" s="25" t="s">
        <v>0</v>
      </c>
      <c r="N1177" s="28"/>
      <c r="O1177" s="28" t="s">
        <v>39</v>
      </c>
      <c r="P1177" s="25" t="s">
        <v>20</v>
      </c>
    </row>
    <row r="1178" spans="1:16" x14ac:dyDescent="0.25">
      <c r="A1178" s="23">
        <f t="shared" si="76"/>
        <v>1177</v>
      </c>
      <c r="B1178" s="24">
        <v>43346</v>
      </c>
      <c r="C1178" s="18" t="str">
        <f t="shared" si="73"/>
        <v>Monday</v>
      </c>
      <c r="D1178" s="10" t="str">
        <f t="shared" si="74"/>
        <v>Same</v>
      </c>
      <c r="E1178" s="2">
        <v>37.619999999999997</v>
      </c>
      <c r="F1178" s="2">
        <v>7</v>
      </c>
      <c r="G1178" s="1">
        <f t="shared" si="75"/>
        <v>0.18607123870281767</v>
      </c>
      <c r="H1178" s="2">
        <v>1.5</v>
      </c>
      <c r="I1178" s="26">
        <v>0.75902777777777775</v>
      </c>
      <c r="J1178" s="26">
        <v>0.79305555555555562</v>
      </c>
      <c r="K1178" s="27">
        <f>Table3[[#This Row],[Delivery Time]]-Table3[[#This Row],[Order Time]]</f>
        <v>3.4027777777777879E-2</v>
      </c>
      <c r="L1178" s="43">
        <v>49</v>
      </c>
      <c r="M1178" s="25" t="s">
        <v>36</v>
      </c>
      <c r="N1178" s="28"/>
      <c r="O1178" s="28" t="s">
        <v>39</v>
      </c>
      <c r="P1178" s="25" t="s">
        <v>20</v>
      </c>
    </row>
    <row r="1179" spans="1:16" x14ac:dyDescent="0.25">
      <c r="A1179" s="23">
        <f t="shared" si="76"/>
        <v>1178</v>
      </c>
      <c r="B1179" s="24">
        <v>43346</v>
      </c>
      <c r="C1179" s="18" t="str">
        <f t="shared" si="73"/>
        <v>Monday</v>
      </c>
      <c r="D1179" s="10" t="str">
        <f t="shared" si="74"/>
        <v>Same</v>
      </c>
      <c r="E1179" s="2">
        <v>33.020000000000003</v>
      </c>
      <c r="F1179" s="2">
        <v>6.98</v>
      </c>
      <c r="G1179" s="1">
        <f t="shared" si="75"/>
        <v>0.2113870381586917</v>
      </c>
      <c r="H1179" s="2">
        <v>1.5</v>
      </c>
      <c r="I1179" s="26">
        <v>0.76458333333333339</v>
      </c>
      <c r="J1179" s="26">
        <v>0.79999999999999993</v>
      </c>
      <c r="K1179" s="27">
        <f>Table3[[#This Row],[Delivery Time]]-Table3[[#This Row],[Order Time]]</f>
        <v>3.5416666666666541E-2</v>
      </c>
      <c r="L1179" s="43">
        <v>51</v>
      </c>
      <c r="M1179" s="25" t="s">
        <v>11</v>
      </c>
      <c r="N1179" s="28"/>
      <c r="O1179" s="28" t="s">
        <v>39</v>
      </c>
      <c r="P1179" s="25" t="s">
        <v>20</v>
      </c>
    </row>
    <row r="1180" spans="1:16" x14ac:dyDescent="0.25">
      <c r="A1180" s="23">
        <f t="shared" si="76"/>
        <v>1179</v>
      </c>
      <c r="B1180" s="24">
        <v>43346</v>
      </c>
      <c r="C1180" s="18" t="str">
        <f t="shared" si="73"/>
        <v>Monday</v>
      </c>
      <c r="D1180" s="10" t="str">
        <f t="shared" si="74"/>
        <v>Same</v>
      </c>
      <c r="E1180" s="2">
        <v>21.33</v>
      </c>
      <c r="F1180" s="2">
        <v>7</v>
      </c>
      <c r="G1180" s="1">
        <f t="shared" si="75"/>
        <v>0.3281762775433662</v>
      </c>
      <c r="H1180" s="2">
        <v>1.5</v>
      </c>
      <c r="I1180" s="26">
        <v>0.77361111111111114</v>
      </c>
      <c r="J1180" s="26">
        <v>0.82777777777777783</v>
      </c>
      <c r="K1180" s="27">
        <f>Table3[[#This Row],[Delivery Time]]-Table3[[#This Row],[Order Time]]</f>
        <v>5.4166666666666696E-2</v>
      </c>
      <c r="L1180" s="43">
        <v>78</v>
      </c>
      <c r="M1180" s="25" t="s">
        <v>11</v>
      </c>
      <c r="N1180" s="28"/>
      <c r="O1180" s="28" t="s">
        <v>41</v>
      </c>
      <c r="P1180" s="25" t="s">
        <v>20</v>
      </c>
    </row>
    <row r="1181" spans="1:16" x14ac:dyDescent="0.25">
      <c r="A1181" s="23">
        <f t="shared" si="76"/>
        <v>1180</v>
      </c>
      <c r="B1181" s="24">
        <v>43346</v>
      </c>
      <c r="C1181" s="18" t="str">
        <f t="shared" si="73"/>
        <v>Monday</v>
      </c>
      <c r="D1181" s="10" t="str">
        <f t="shared" si="74"/>
        <v>Same</v>
      </c>
      <c r="E1181" s="2">
        <v>18.89</v>
      </c>
      <c r="F1181" s="2">
        <v>10</v>
      </c>
      <c r="G1181" s="1">
        <f t="shared" si="75"/>
        <v>0.52938062466913705</v>
      </c>
      <c r="H1181" s="2">
        <v>1.5</v>
      </c>
      <c r="I1181" s="26">
        <v>0.79583333333333339</v>
      </c>
      <c r="J1181" s="26">
        <v>0.84652777777777777</v>
      </c>
      <c r="K1181" s="27">
        <f>Table3[[#This Row],[Delivery Time]]-Table3[[#This Row],[Order Time]]</f>
        <v>5.0694444444444375E-2</v>
      </c>
      <c r="L1181" s="43">
        <v>73</v>
      </c>
      <c r="M1181" s="25" t="s">
        <v>0</v>
      </c>
      <c r="N1181" s="28"/>
      <c r="O1181" s="28" t="s">
        <v>39</v>
      </c>
      <c r="P1181" s="25" t="s">
        <v>20</v>
      </c>
    </row>
    <row r="1182" spans="1:16" x14ac:dyDescent="0.25">
      <c r="A1182" s="23">
        <f t="shared" si="76"/>
        <v>1181</v>
      </c>
      <c r="B1182" s="24">
        <v>43346</v>
      </c>
      <c r="C1182" s="18" t="str">
        <f t="shared" si="73"/>
        <v>Monday</v>
      </c>
      <c r="D1182" s="10" t="str">
        <f t="shared" si="74"/>
        <v>Same</v>
      </c>
      <c r="E1182" s="2">
        <v>83.03</v>
      </c>
      <c r="F1182" s="2">
        <v>10</v>
      </c>
      <c r="G1182" s="1">
        <f t="shared" si="75"/>
        <v>0.12043839576056847</v>
      </c>
      <c r="H1182" s="2">
        <v>5</v>
      </c>
      <c r="I1182" s="26">
        <v>0.76527777777777783</v>
      </c>
      <c r="J1182" s="26">
        <v>0.85902777777777783</v>
      </c>
      <c r="K1182" s="27">
        <f>Table3[[#This Row],[Delivery Time]]-Table3[[#This Row],[Order Time]]</f>
        <v>9.375E-2</v>
      </c>
      <c r="L1182" s="43">
        <v>135</v>
      </c>
      <c r="M1182" s="25" t="s">
        <v>11</v>
      </c>
      <c r="N1182" s="28"/>
      <c r="O1182" s="28" t="s">
        <v>39</v>
      </c>
      <c r="P1182" s="25" t="s">
        <v>20</v>
      </c>
    </row>
    <row r="1183" spans="1:16" x14ac:dyDescent="0.25">
      <c r="A1183" s="23">
        <f t="shared" si="76"/>
        <v>1182</v>
      </c>
      <c r="B1183" s="24">
        <v>43349</v>
      </c>
      <c r="C1183" s="18" t="str">
        <f t="shared" si="73"/>
        <v>Thursday</v>
      </c>
      <c r="D1183" s="10" t="str">
        <f t="shared" si="74"/>
        <v>Different</v>
      </c>
      <c r="E1183" s="2">
        <v>115.02</v>
      </c>
      <c r="F1183" s="2">
        <v>15</v>
      </c>
      <c r="G1183" s="1">
        <f t="shared" si="75"/>
        <v>0.13041210224308816</v>
      </c>
      <c r="H1183" s="2">
        <v>5</v>
      </c>
      <c r="I1183" s="26">
        <v>0.78611111111111109</v>
      </c>
      <c r="J1183" s="26">
        <v>0.82291666666666663</v>
      </c>
      <c r="K1183" s="27">
        <f>Table3[[#This Row],[Delivery Time]]-Table3[[#This Row],[Order Time]]</f>
        <v>3.6805555555555536E-2</v>
      </c>
      <c r="L1183" s="43">
        <v>53</v>
      </c>
      <c r="M1183" s="25" t="s">
        <v>0</v>
      </c>
      <c r="N1183" s="28"/>
      <c r="O1183" s="28" t="s">
        <v>39</v>
      </c>
      <c r="P1183" s="25" t="s">
        <v>20</v>
      </c>
    </row>
    <row r="1184" spans="1:16" x14ac:dyDescent="0.25">
      <c r="A1184" s="23">
        <f t="shared" si="76"/>
        <v>1183</v>
      </c>
      <c r="B1184" s="24">
        <v>43349</v>
      </c>
      <c r="C1184" s="18" t="str">
        <f t="shared" si="73"/>
        <v>Thursday</v>
      </c>
      <c r="D1184" s="10" t="str">
        <f t="shared" si="74"/>
        <v>Same</v>
      </c>
      <c r="E1184" s="2">
        <v>30.58</v>
      </c>
      <c r="F1184" s="2">
        <v>10</v>
      </c>
      <c r="G1184" s="1">
        <f t="shared" si="75"/>
        <v>0.32701111837802488</v>
      </c>
      <c r="H1184" s="2">
        <v>5</v>
      </c>
      <c r="I1184" s="26">
        <v>0.7993055555555556</v>
      </c>
      <c r="J1184" s="26">
        <v>0.85138888888888886</v>
      </c>
      <c r="K1184" s="27">
        <f>Table3[[#This Row],[Delivery Time]]-Table3[[#This Row],[Order Time]]</f>
        <v>5.2083333333333259E-2</v>
      </c>
      <c r="L1184" s="43">
        <v>75</v>
      </c>
      <c r="M1184" s="25" t="s">
        <v>0</v>
      </c>
      <c r="N1184" s="28"/>
      <c r="O1184" s="28" t="s">
        <v>39</v>
      </c>
      <c r="P1184" s="25" t="s">
        <v>20</v>
      </c>
    </row>
    <row r="1185" spans="1:16" x14ac:dyDescent="0.25">
      <c r="A1185" s="23">
        <f t="shared" si="76"/>
        <v>1184</v>
      </c>
      <c r="B1185" s="24">
        <v>43349</v>
      </c>
      <c r="C1185" s="18" t="str">
        <f t="shared" si="73"/>
        <v>Thursday</v>
      </c>
      <c r="D1185" s="10" t="str">
        <f t="shared" si="74"/>
        <v>Same</v>
      </c>
      <c r="E1185" s="2">
        <v>36.53</v>
      </c>
      <c r="F1185" s="2">
        <v>3.47</v>
      </c>
      <c r="G1185" s="1">
        <f t="shared" si="75"/>
        <v>9.4990418833835202E-2</v>
      </c>
      <c r="H1185" s="2">
        <v>1.5</v>
      </c>
      <c r="I1185" s="26">
        <v>0.7944444444444444</v>
      </c>
      <c r="J1185" s="26">
        <v>0.84583333333333333</v>
      </c>
      <c r="K1185" s="27">
        <f>Table3[[#This Row],[Delivery Time]]-Table3[[#This Row],[Order Time]]</f>
        <v>5.1388888888888928E-2</v>
      </c>
      <c r="L1185" s="43">
        <v>74</v>
      </c>
      <c r="M1185" s="25" t="s">
        <v>0</v>
      </c>
      <c r="N1185" s="28"/>
      <c r="O1185" s="28" t="s">
        <v>39</v>
      </c>
      <c r="P1185" s="25" t="s">
        <v>20</v>
      </c>
    </row>
    <row r="1186" spans="1:16" x14ac:dyDescent="0.25">
      <c r="A1186" s="23">
        <f t="shared" si="76"/>
        <v>1185</v>
      </c>
      <c r="B1186" s="24">
        <v>43349</v>
      </c>
      <c r="C1186" s="18" t="str">
        <f t="shared" si="73"/>
        <v>Thursday</v>
      </c>
      <c r="D1186" s="10" t="str">
        <f t="shared" si="74"/>
        <v>Same</v>
      </c>
      <c r="E1186" s="2">
        <v>29.99</v>
      </c>
      <c r="F1186" s="2">
        <v>5</v>
      </c>
      <c r="G1186" s="1">
        <f t="shared" si="75"/>
        <v>0.16672224074691563</v>
      </c>
      <c r="H1186" s="2">
        <v>1.5</v>
      </c>
      <c r="I1186" s="26">
        <v>0.79861111111111116</v>
      </c>
      <c r="J1186" s="26">
        <v>0.82986111111111116</v>
      </c>
      <c r="K1186" s="27">
        <f>Table3[[#This Row],[Delivery Time]]-Table3[[#This Row],[Order Time]]</f>
        <v>3.125E-2</v>
      </c>
      <c r="L1186" s="43">
        <v>45</v>
      </c>
      <c r="M1186" s="25" t="s">
        <v>0</v>
      </c>
      <c r="N1186" s="28"/>
      <c r="O1186" s="28" t="s">
        <v>39</v>
      </c>
      <c r="P1186" s="25" t="s">
        <v>20</v>
      </c>
    </row>
    <row r="1187" spans="1:16" x14ac:dyDescent="0.25">
      <c r="A1187" s="23">
        <f t="shared" si="76"/>
        <v>1186</v>
      </c>
      <c r="B1187" s="24">
        <v>43350</v>
      </c>
      <c r="C1187" s="18" t="str">
        <f t="shared" si="73"/>
        <v>Friday</v>
      </c>
      <c r="D1187" s="10" t="str">
        <f t="shared" si="74"/>
        <v>Different</v>
      </c>
      <c r="E1187" s="2">
        <v>54.56</v>
      </c>
      <c r="F1187" s="2">
        <v>15</v>
      </c>
      <c r="G1187" s="1">
        <f t="shared" si="75"/>
        <v>0.27492668621700878</v>
      </c>
      <c r="H1187" s="2">
        <v>1.5</v>
      </c>
      <c r="I1187" s="26">
        <v>0.75347222222222221</v>
      </c>
      <c r="J1187" s="26">
        <v>0.77569444444444446</v>
      </c>
      <c r="K1187" s="27">
        <f>Table3[[#This Row],[Delivery Time]]-Table3[[#This Row],[Order Time]]</f>
        <v>2.2222222222222254E-2</v>
      </c>
      <c r="L1187" s="43">
        <v>32</v>
      </c>
      <c r="M1187" s="25" t="s">
        <v>11</v>
      </c>
      <c r="N1187" s="28"/>
      <c r="O1187" s="28" t="s">
        <v>39</v>
      </c>
      <c r="P1187" s="25" t="s">
        <v>20</v>
      </c>
    </row>
    <row r="1188" spans="1:16" x14ac:dyDescent="0.25">
      <c r="A1188" s="23">
        <f t="shared" si="76"/>
        <v>1187</v>
      </c>
      <c r="B1188" s="24">
        <v>43350</v>
      </c>
      <c r="C1188" s="18" t="str">
        <f t="shared" si="73"/>
        <v>Friday</v>
      </c>
      <c r="D1188" s="10" t="str">
        <f t="shared" si="74"/>
        <v>Same</v>
      </c>
      <c r="E1188" s="2">
        <v>54.88</v>
      </c>
      <c r="F1188" s="2">
        <v>5</v>
      </c>
      <c r="G1188" s="1">
        <f t="shared" si="75"/>
        <v>9.1107871720116612E-2</v>
      </c>
      <c r="H1188" s="2">
        <v>5</v>
      </c>
      <c r="I1188" s="26">
        <v>0.77083333333333337</v>
      </c>
      <c r="J1188" s="26">
        <v>0.80208333333333337</v>
      </c>
      <c r="K1188" s="27">
        <f>Table3[[#This Row],[Delivery Time]]-Table3[[#This Row],[Order Time]]</f>
        <v>3.125E-2</v>
      </c>
      <c r="L1188" s="43">
        <v>45</v>
      </c>
      <c r="M1188" s="25" t="s">
        <v>0</v>
      </c>
      <c r="N1188" s="28"/>
      <c r="O1188" s="28" t="s">
        <v>39</v>
      </c>
      <c r="P1188" s="25" t="s">
        <v>20</v>
      </c>
    </row>
    <row r="1189" spans="1:16" x14ac:dyDescent="0.25">
      <c r="A1189" s="23">
        <f t="shared" si="76"/>
        <v>1188</v>
      </c>
      <c r="B1189" s="24">
        <v>43350</v>
      </c>
      <c r="C1189" s="18" t="str">
        <f t="shared" si="73"/>
        <v>Friday</v>
      </c>
      <c r="D1189" s="10" t="str">
        <f t="shared" si="74"/>
        <v>Same</v>
      </c>
      <c r="E1189" s="2">
        <v>39.130000000000003</v>
      </c>
      <c r="F1189" s="2">
        <v>5</v>
      </c>
      <c r="G1189" s="1">
        <f t="shared" si="75"/>
        <v>0.12777919754663941</v>
      </c>
      <c r="H1189" s="2">
        <v>1.5</v>
      </c>
      <c r="I1189" s="26">
        <v>0.77222222222222225</v>
      </c>
      <c r="J1189" s="26">
        <v>0.81319444444444444</v>
      </c>
      <c r="K1189" s="27">
        <f>Table3[[#This Row],[Delivery Time]]-Table3[[#This Row],[Order Time]]</f>
        <v>4.0972222222222188E-2</v>
      </c>
      <c r="L1189" s="43">
        <v>59</v>
      </c>
      <c r="M1189" s="25" t="s">
        <v>0</v>
      </c>
      <c r="N1189" s="28"/>
      <c r="O1189" s="28" t="s">
        <v>39</v>
      </c>
      <c r="P1189" s="25" t="s">
        <v>20</v>
      </c>
    </row>
    <row r="1190" spans="1:16" x14ac:dyDescent="0.25">
      <c r="A1190" s="23">
        <f t="shared" si="76"/>
        <v>1189</v>
      </c>
      <c r="B1190" s="24">
        <v>43350</v>
      </c>
      <c r="C1190" s="18" t="str">
        <f t="shared" si="73"/>
        <v>Friday</v>
      </c>
      <c r="D1190" s="10" t="str">
        <f t="shared" si="74"/>
        <v>Same</v>
      </c>
      <c r="E1190" s="2">
        <v>12.45</v>
      </c>
      <c r="F1190" s="2">
        <v>25</v>
      </c>
      <c r="G1190" s="1">
        <f t="shared" si="75"/>
        <v>2.0080321285140563</v>
      </c>
      <c r="H1190" s="2">
        <v>1.5</v>
      </c>
      <c r="I1190" s="26">
        <v>0.77500000000000002</v>
      </c>
      <c r="J1190" s="26">
        <v>0.81874999999999998</v>
      </c>
      <c r="K1190" s="27">
        <f>Table3[[#This Row],[Delivery Time]]-Table3[[#This Row],[Order Time]]</f>
        <v>4.3749999999999956E-2</v>
      </c>
      <c r="L1190" s="43">
        <v>63</v>
      </c>
      <c r="M1190" s="25" t="s">
        <v>0</v>
      </c>
      <c r="N1190" s="28"/>
      <c r="O1190" s="28" t="s">
        <v>39</v>
      </c>
      <c r="P1190" s="25" t="s">
        <v>20</v>
      </c>
    </row>
    <row r="1191" spans="1:16" x14ac:dyDescent="0.25">
      <c r="A1191" s="23">
        <f t="shared" si="76"/>
        <v>1190</v>
      </c>
      <c r="B1191" s="24">
        <v>43350</v>
      </c>
      <c r="C1191" s="18" t="str">
        <f t="shared" si="73"/>
        <v>Friday</v>
      </c>
      <c r="D1191" s="10" t="str">
        <f t="shared" si="74"/>
        <v>Same</v>
      </c>
      <c r="E1191" s="2">
        <v>17.86</v>
      </c>
      <c r="F1191" s="2">
        <v>5</v>
      </c>
      <c r="G1191" s="1">
        <f t="shared" si="75"/>
        <v>0.27995520716685329</v>
      </c>
      <c r="H1191" s="2">
        <v>5</v>
      </c>
      <c r="I1191" s="26">
        <v>0.81180555555555556</v>
      </c>
      <c r="J1191" s="26">
        <v>0.84375</v>
      </c>
      <c r="K1191" s="27">
        <f>Table3[[#This Row],[Delivery Time]]-Table3[[#This Row],[Order Time]]</f>
        <v>3.1944444444444442E-2</v>
      </c>
      <c r="L1191" s="43">
        <v>46.000000000000007</v>
      </c>
      <c r="M1191" s="25" t="s">
        <v>11</v>
      </c>
      <c r="N1191" s="28"/>
      <c r="O1191" s="28" t="s">
        <v>41</v>
      </c>
      <c r="P1191" s="25" t="s">
        <v>20</v>
      </c>
    </row>
    <row r="1192" spans="1:16" x14ac:dyDescent="0.25">
      <c r="A1192" s="23">
        <f t="shared" si="76"/>
        <v>1191</v>
      </c>
      <c r="B1192" s="24">
        <v>43350</v>
      </c>
      <c r="C1192" s="18" t="str">
        <f t="shared" si="73"/>
        <v>Friday</v>
      </c>
      <c r="D1192" s="10" t="str">
        <f t="shared" si="74"/>
        <v>Same</v>
      </c>
      <c r="E1192" s="2">
        <v>25.11</v>
      </c>
      <c r="F1192" s="2">
        <v>4.8899999999999997</v>
      </c>
      <c r="G1192" s="1">
        <f t="shared" si="75"/>
        <v>0.19474313022700118</v>
      </c>
      <c r="H1192" s="2">
        <v>1.5</v>
      </c>
      <c r="I1192" s="26">
        <v>0.80972222222222223</v>
      </c>
      <c r="J1192" s="26">
        <v>0.85</v>
      </c>
      <c r="K1192" s="27">
        <f>Table3[[#This Row],[Delivery Time]]-Table3[[#This Row],[Order Time]]</f>
        <v>4.0277777777777746E-2</v>
      </c>
      <c r="L1192" s="43">
        <v>58.000000000000007</v>
      </c>
      <c r="M1192" s="25" t="s">
        <v>11</v>
      </c>
      <c r="N1192" s="28"/>
      <c r="O1192" s="28" t="s">
        <v>39</v>
      </c>
      <c r="P1192" s="25" t="s">
        <v>20</v>
      </c>
    </row>
    <row r="1193" spans="1:16" x14ac:dyDescent="0.25">
      <c r="A1193" s="23">
        <f t="shared" si="76"/>
        <v>1192</v>
      </c>
      <c r="B1193" s="24">
        <v>43350</v>
      </c>
      <c r="C1193" s="18" t="str">
        <f t="shared" si="73"/>
        <v>Friday</v>
      </c>
      <c r="D1193" s="10" t="str">
        <f t="shared" si="74"/>
        <v>Same</v>
      </c>
      <c r="E1193" s="2">
        <v>49.8</v>
      </c>
      <c r="F1193" s="2">
        <v>7</v>
      </c>
      <c r="G1193" s="1">
        <f t="shared" si="75"/>
        <v>0.14056224899598393</v>
      </c>
      <c r="H1193" s="2">
        <v>1.5</v>
      </c>
      <c r="I1193" s="26">
        <v>0.81944444444444453</v>
      </c>
      <c r="J1193" s="26">
        <v>0.8569444444444444</v>
      </c>
      <c r="K1193" s="27">
        <f>Table3[[#This Row],[Delivery Time]]-Table3[[#This Row],[Order Time]]</f>
        <v>3.7499999999999867E-2</v>
      </c>
      <c r="L1193" s="43">
        <v>53.999999999999993</v>
      </c>
      <c r="M1193" s="25" t="s">
        <v>11</v>
      </c>
      <c r="N1193" s="28"/>
      <c r="O1193" s="28" t="s">
        <v>41</v>
      </c>
      <c r="P1193" s="25" t="s">
        <v>20</v>
      </c>
    </row>
    <row r="1194" spans="1:16" x14ac:dyDescent="0.25">
      <c r="A1194" s="23">
        <f t="shared" si="76"/>
        <v>1193</v>
      </c>
      <c r="B1194" s="24">
        <v>43350</v>
      </c>
      <c r="C1194" s="18" t="str">
        <f t="shared" si="73"/>
        <v>Friday</v>
      </c>
      <c r="D1194" s="10" t="str">
        <f t="shared" si="74"/>
        <v>Same</v>
      </c>
      <c r="E1194" s="2">
        <v>65.33</v>
      </c>
      <c r="F1194" s="2">
        <v>6.47</v>
      </c>
      <c r="G1194" s="1">
        <f t="shared" si="75"/>
        <v>9.9035665084953317E-2</v>
      </c>
      <c r="H1194" s="2">
        <v>1.5</v>
      </c>
      <c r="I1194" s="26">
        <v>0.84583333333333333</v>
      </c>
      <c r="J1194" s="26">
        <v>0.87013888888888891</v>
      </c>
      <c r="K1194" s="27">
        <f>Table3[[#This Row],[Delivery Time]]-Table3[[#This Row],[Order Time]]</f>
        <v>2.430555555555558E-2</v>
      </c>
      <c r="L1194" s="43">
        <v>35</v>
      </c>
      <c r="M1194" s="25" t="s">
        <v>0</v>
      </c>
      <c r="N1194" s="28"/>
      <c r="O1194" s="28" t="s">
        <v>39</v>
      </c>
      <c r="P1194" s="25" t="s">
        <v>20</v>
      </c>
    </row>
    <row r="1195" spans="1:16" x14ac:dyDescent="0.25">
      <c r="A1195" s="23">
        <f t="shared" si="76"/>
        <v>1194</v>
      </c>
      <c r="B1195" s="24">
        <v>43351</v>
      </c>
      <c r="C1195" s="18" t="str">
        <f t="shared" si="73"/>
        <v>Saturday</v>
      </c>
      <c r="D1195" s="10" t="str">
        <f t="shared" si="74"/>
        <v>Different</v>
      </c>
      <c r="E1195" s="2">
        <v>31.88</v>
      </c>
      <c r="F1195" s="2">
        <v>3.12</v>
      </c>
      <c r="G1195" s="1">
        <f t="shared" si="75"/>
        <v>9.7867001254705155E-2</v>
      </c>
      <c r="H1195" s="2">
        <v>1.5</v>
      </c>
      <c r="I1195" s="26">
        <v>0.68125000000000002</v>
      </c>
      <c r="J1195" s="26">
        <v>0.72222222222222221</v>
      </c>
      <c r="K1195" s="27">
        <f>Table3[[#This Row],[Delivery Time]]-Table3[[#This Row],[Order Time]]</f>
        <v>4.0972222222222188E-2</v>
      </c>
      <c r="L1195" s="43">
        <v>59</v>
      </c>
      <c r="M1195" s="25" t="s">
        <v>0</v>
      </c>
      <c r="N1195" s="28"/>
      <c r="O1195" s="28" t="s">
        <v>41</v>
      </c>
      <c r="P1195" s="25" t="s">
        <v>20</v>
      </c>
    </row>
    <row r="1196" spans="1:16" x14ac:dyDescent="0.25">
      <c r="A1196" s="23">
        <f t="shared" si="76"/>
        <v>1195</v>
      </c>
      <c r="B1196" s="24">
        <v>43351</v>
      </c>
      <c r="C1196" s="18" t="str">
        <f t="shared" si="73"/>
        <v>Saturday</v>
      </c>
      <c r="D1196" s="10" t="str">
        <f t="shared" si="74"/>
        <v>Same</v>
      </c>
      <c r="E1196" s="2">
        <v>16.510000000000002</v>
      </c>
      <c r="F1196" s="2">
        <v>6</v>
      </c>
      <c r="G1196" s="1">
        <f t="shared" si="75"/>
        <v>0.36341611144760749</v>
      </c>
      <c r="H1196" s="2">
        <v>1.5</v>
      </c>
      <c r="I1196" s="26">
        <v>0.6958333333333333</v>
      </c>
      <c r="J1196" s="26">
        <v>0.72638888888888886</v>
      </c>
      <c r="K1196" s="27">
        <f>Table3[[#This Row],[Delivery Time]]-Table3[[#This Row],[Order Time]]</f>
        <v>3.0555555555555558E-2</v>
      </c>
      <c r="L1196" s="43">
        <v>44</v>
      </c>
      <c r="M1196" s="25" t="s">
        <v>0</v>
      </c>
      <c r="N1196" s="28"/>
      <c r="O1196" s="28" t="s">
        <v>41</v>
      </c>
      <c r="P1196" s="25" t="s">
        <v>20</v>
      </c>
    </row>
    <row r="1197" spans="1:16" x14ac:dyDescent="0.25">
      <c r="A1197" s="23">
        <f t="shared" si="76"/>
        <v>1196</v>
      </c>
      <c r="B1197" s="24">
        <v>43351</v>
      </c>
      <c r="C1197" s="18" t="str">
        <f t="shared" si="73"/>
        <v>Saturday</v>
      </c>
      <c r="D1197" s="10" t="str">
        <f t="shared" si="74"/>
        <v>Same</v>
      </c>
      <c r="E1197" s="2">
        <v>45.36</v>
      </c>
      <c r="F1197" s="2">
        <v>10</v>
      </c>
      <c r="G1197" s="1">
        <f t="shared" si="75"/>
        <v>0.22045855379188714</v>
      </c>
      <c r="H1197" s="2">
        <v>1.5</v>
      </c>
      <c r="I1197" s="26">
        <v>0.74722222222222223</v>
      </c>
      <c r="J1197" s="26">
        <v>0.76597222222222217</v>
      </c>
      <c r="K1197" s="27">
        <f>Table3[[#This Row],[Delivery Time]]-Table3[[#This Row],[Order Time]]</f>
        <v>1.8749999999999933E-2</v>
      </c>
      <c r="L1197" s="43">
        <v>26.999999999999996</v>
      </c>
      <c r="M1197" s="25" t="s">
        <v>11</v>
      </c>
      <c r="N1197" s="28"/>
      <c r="O1197" s="28" t="s">
        <v>39</v>
      </c>
      <c r="P1197" s="25" t="s">
        <v>20</v>
      </c>
    </row>
    <row r="1198" spans="1:16" x14ac:dyDescent="0.25">
      <c r="A1198" s="23">
        <f t="shared" si="76"/>
        <v>1197</v>
      </c>
      <c r="B1198" s="24">
        <v>43351</v>
      </c>
      <c r="C1198" s="18" t="str">
        <f t="shared" si="73"/>
        <v>Saturday</v>
      </c>
      <c r="D1198" s="10" t="str">
        <f t="shared" si="74"/>
        <v>Same</v>
      </c>
      <c r="E1198" s="2">
        <v>14.51</v>
      </c>
      <c r="F1198" s="2">
        <v>5</v>
      </c>
      <c r="G1198" s="1">
        <f t="shared" si="75"/>
        <v>0.34458993797381116</v>
      </c>
      <c r="H1198" s="2">
        <v>5</v>
      </c>
      <c r="I1198" s="26">
        <v>0.76874999999999993</v>
      </c>
      <c r="J1198" s="26">
        <v>0.79861111111111116</v>
      </c>
      <c r="K1198" s="27">
        <f>Table3[[#This Row],[Delivery Time]]-Table3[[#This Row],[Order Time]]</f>
        <v>2.9861111111111227E-2</v>
      </c>
      <c r="L1198" s="43">
        <v>43</v>
      </c>
      <c r="M1198" s="25" t="s">
        <v>0</v>
      </c>
      <c r="N1198" s="28"/>
      <c r="O1198" s="28" t="s">
        <v>39</v>
      </c>
      <c r="P1198" s="25" t="s">
        <v>20</v>
      </c>
    </row>
    <row r="1199" spans="1:16" x14ac:dyDescent="0.25">
      <c r="A1199" s="23">
        <f t="shared" si="76"/>
        <v>1198</v>
      </c>
      <c r="B1199" s="24">
        <v>43351</v>
      </c>
      <c r="C1199" s="18" t="str">
        <f t="shared" si="73"/>
        <v>Saturday</v>
      </c>
      <c r="D1199" s="10" t="str">
        <f t="shared" si="74"/>
        <v>Same</v>
      </c>
      <c r="E1199" s="2">
        <v>18.350000000000001</v>
      </c>
      <c r="F1199" s="2">
        <v>3</v>
      </c>
      <c r="G1199" s="1">
        <f t="shared" si="75"/>
        <v>0.16348773841961853</v>
      </c>
      <c r="H1199" s="2">
        <v>1.5</v>
      </c>
      <c r="I1199" s="26">
        <v>0.78055555555555556</v>
      </c>
      <c r="J1199" s="26">
        <v>0.80833333333333324</v>
      </c>
      <c r="K1199" s="27">
        <f>Table3[[#This Row],[Delivery Time]]-Table3[[#This Row],[Order Time]]</f>
        <v>2.7777777777777679E-2</v>
      </c>
      <c r="L1199" s="43">
        <v>40</v>
      </c>
      <c r="M1199" s="25" t="s">
        <v>0</v>
      </c>
      <c r="N1199" s="28"/>
      <c r="O1199" s="28" t="s">
        <v>39</v>
      </c>
      <c r="P1199" s="25" t="s">
        <v>20</v>
      </c>
    </row>
    <row r="1200" spans="1:16" x14ac:dyDescent="0.25">
      <c r="A1200" s="23">
        <f t="shared" si="76"/>
        <v>1199</v>
      </c>
      <c r="B1200" s="24">
        <v>43351</v>
      </c>
      <c r="C1200" s="18" t="str">
        <f t="shared" si="73"/>
        <v>Saturday</v>
      </c>
      <c r="D1200" s="10" t="str">
        <f t="shared" si="74"/>
        <v>Same</v>
      </c>
      <c r="E1200" s="2">
        <v>29.71</v>
      </c>
      <c r="F1200" s="2">
        <v>4</v>
      </c>
      <c r="G1200" s="1">
        <f t="shared" si="75"/>
        <v>0.13463480309660047</v>
      </c>
      <c r="H1200" s="2">
        <v>5</v>
      </c>
      <c r="I1200" s="26">
        <v>0.80972222222222223</v>
      </c>
      <c r="J1200" s="26">
        <v>0.8520833333333333</v>
      </c>
      <c r="K1200" s="27">
        <f>Table3[[#This Row],[Delivery Time]]-Table3[[#This Row],[Order Time]]</f>
        <v>4.2361111111111072E-2</v>
      </c>
      <c r="L1200" s="43">
        <v>61</v>
      </c>
      <c r="M1200" s="25" t="s">
        <v>0</v>
      </c>
      <c r="N1200" s="28"/>
      <c r="O1200" s="28" t="s">
        <v>39</v>
      </c>
      <c r="P1200" s="25" t="s">
        <v>20</v>
      </c>
    </row>
    <row r="1201" spans="1:16" x14ac:dyDescent="0.25">
      <c r="A1201" s="23">
        <f t="shared" si="76"/>
        <v>1200</v>
      </c>
      <c r="B1201" s="24">
        <v>43351</v>
      </c>
      <c r="C1201" s="18" t="str">
        <f t="shared" si="73"/>
        <v>Saturday</v>
      </c>
      <c r="D1201" s="10" t="str">
        <f t="shared" si="74"/>
        <v>Same</v>
      </c>
      <c r="E1201" s="2">
        <v>88.61</v>
      </c>
      <c r="F1201" s="2">
        <v>5</v>
      </c>
      <c r="G1201" s="1">
        <f t="shared" si="75"/>
        <v>5.6427039837490124E-2</v>
      </c>
      <c r="H1201" s="2">
        <v>5</v>
      </c>
      <c r="I1201" s="26">
        <v>0.82291666666666663</v>
      </c>
      <c r="J1201" s="26">
        <v>0.86111111111111116</v>
      </c>
      <c r="K1201" s="27">
        <f>Table3[[#This Row],[Delivery Time]]-Table3[[#This Row],[Order Time]]</f>
        <v>3.8194444444444531E-2</v>
      </c>
      <c r="L1201" s="43">
        <v>54.999999999999993</v>
      </c>
      <c r="M1201" s="25" t="s">
        <v>0</v>
      </c>
      <c r="N1201" s="28"/>
      <c r="O1201" s="28" t="s">
        <v>39</v>
      </c>
      <c r="P1201" s="25" t="s">
        <v>20</v>
      </c>
    </row>
    <row r="1202" spans="1:16" x14ac:dyDescent="0.25">
      <c r="A1202" s="23">
        <f t="shared" si="76"/>
        <v>1201</v>
      </c>
      <c r="B1202" s="24">
        <v>43351</v>
      </c>
      <c r="C1202" s="18" t="str">
        <f t="shared" si="73"/>
        <v>Saturday</v>
      </c>
      <c r="D1202" s="10" t="str">
        <f t="shared" si="74"/>
        <v>Same</v>
      </c>
      <c r="E1202" s="2">
        <v>36.75</v>
      </c>
      <c r="F1202" s="2">
        <v>6</v>
      </c>
      <c r="G1202" s="1">
        <f t="shared" si="75"/>
        <v>0.16326530612244897</v>
      </c>
      <c r="H1202" s="2">
        <v>1.5</v>
      </c>
      <c r="I1202" s="26">
        <v>0.84722222222222221</v>
      </c>
      <c r="J1202" s="26">
        <v>0.88611111111111107</v>
      </c>
      <c r="K1202" s="27">
        <f>Table3[[#This Row],[Delivery Time]]-Table3[[#This Row],[Order Time]]</f>
        <v>3.8888888888888862E-2</v>
      </c>
      <c r="L1202" s="43">
        <v>56</v>
      </c>
      <c r="M1202" s="25" t="s">
        <v>11</v>
      </c>
      <c r="N1202" s="28"/>
      <c r="O1202" s="28" t="s">
        <v>41</v>
      </c>
      <c r="P1202" s="25" t="s">
        <v>20</v>
      </c>
    </row>
    <row r="1203" spans="1:16" x14ac:dyDescent="0.25">
      <c r="A1203" s="23">
        <f t="shared" si="76"/>
        <v>1202</v>
      </c>
      <c r="B1203" s="24">
        <v>43351</v>
      </c>
      <c r="C1203" s="18" t="str">
        <f t="shared" si="73"/>
        <v>Saturday</v>
      </c>
      <c r="D1203" s="10" t="str">
        <f t="shared" si="74"/>
        <v>Same</v>
      </c>
      <c r="E1203" s="2">
        <v>23.27</v>
      </c>
      <c r="F1203" s="2">
        <v>16.73</v>
      </c>
      <c r="G1203" s="1">
        <f t="shared" si="75"/>
        <v>0.71895143962183072</v>
      </c>
      <c r="H1203" s="2">
        <v>1.5</v>
      </c>
      <c r="I1203" s="26">
        <v>0.8569444444444444</v>
      </c>
      <c r="J1203" s="26">
        <v>0.89236111111111116</v>
      </c>
      <c r="K1203" s="27">
        <f>Table3[[#This Row],[Delivery Time]]-Table3[[#This Row],[Order Time]]</f>
        <v>3.5416666666666763E-2</v>
      </c>
      <c r="L1203" s="43">
        <v>51</v>
      </c>
      <c r="M1203" s="25" t="s">
        <v>0</v>
      </c>
      <c r="N1203" s="28"/>
      <c r="O1203" s="28" t="s">
        <v>39</v>
      </c>
      <c r="P1203" s="25" t="s">
        <v>20</v>
      </c>
    </row>
    <row r="1204" spans="1:16" x14ac:dyDescent="0.25">
      <c r="A1204" s="23">
        <f t="shared" si="76"/>
        <v>1203</v>
      </c>
      <c r="B1204" s="24">
        <v>43351</v>
      </c>
      <c r="C1204" s="18" t="str">
        <f t="shared" si="73"/>
        <v>Saturday</v>
      </c>
      <c r="D1204" s="10" t="str">
        <f t="shared" si="74"/>
        <v>Same</v>
      </c>
      <c r="E1204" s="2">
        <v>43.19</v>
      </c>
      <c r="F1204" s="2">
        <v>4</v>
      </c>
      <c r="G1204" s="1">
        <f t="shared" si="75"/>
        <v>9.26140310257004E-2</v>
      </c>
      <c r="H1204" s="2">
        <v>1.5</v>
      </c>
      <c r="I1204" s="26">
        <v>0.85555555555555562</v>
      </c>
      <c r="J1204" s="26">
        <v>0.9</v>
      </c>
      <c r="K1204" s="27">
        <f>Table3[[#This Row],[Delivery Time]]-Table3[[#This Row],[Order Time]]</f>
        <v>4.4444444444444398E-2</v>
      </c>
      <c r="L1204" s="43">
        <v>64</v>
      </c>
      <c r="M1204" s="25" t="s">
        <v>0</v>
      </c>
      <c r="N1204" s="28"/>
      <c r="O1204" s="28" t="s">
        <v>39</v>
      </c>
      <c r="P1204" s="25" t="s">
        <v>20</v>
      </c>
    </row>
    <row r="1205" spans="1:16" x14ac:dyDescent="0.25">
      <c r="A1205" s="23">
        <f t="shared" si="76"/>
        <v>1204</v>
      </c>
      <c r="B1205" s="24">
        <v>43351</v>
      </c>
      <c r="C1205" s="18" t="str">
        <f t="shared" si="73"/>
        <v>Saturday</v>
      </c>
      <c r="D1205" s="10" t="str">
        <f t="shared" si="74"/>
        <v>Same</v>
      </c>
      <c r="E1205" s="2">
        <v>18.079999999999998</v>
      </c>
      <c r="F1205" s="2">
        <v>3</v>
      </c>
      <c r="G1205" s="1">
        <f t="shared" si="75"/>
        <v>0.16592920353982302</v>
      </c>
      <c r="H1205" s="2">
        <v>1.5</v>
      </c>
      <c r="I1205" s="26">
        <v>0.89097222222222217</v>
      </c>
      <c r="J1205" s="26">
        <v>0.92291666666666661</v>
      </c>
      <c r="K1205" s="27">
        <f>Table3[[#This Row],[Delivery Time]]-Table3[[#This Row],[Order Time]]</f>
        <v>3.1944444444444442E-2</v>
      </c>
      <c r="L1205" s="43">
        <v>46.000000000000007</v>
      </c>
      <c r="M1205" s="25" t="s">
        <v>0</v>
      </c>
      <c r="N1205" s="28"/>
      <c r="O1205" s="28" t="s">
        <v>41</v>
      </c>
      <c r="P1205" s="25" t="s">
        <v>20</v>
      </c>
    </row>
    <row r="1206" spans="1:16" x14ac:dyDescent="0.25">
      <c r="A1206" s="23">
        <f t="shared" si="76"/>
        <v>1205</v>
      </c>
      <c r="B1206" s="24">
        <v>43353</v>
      </c>
      <c r="C1206" s="18" t="str">
        <f t="shared" si="73"/>
        <v>Monday</v>
      </c>
      <c r="D1206" s="10" t="str">
        <f t="shared" si="74"/>
        <v>Different</v>
      </c>
      <c r="E1206" s="2">
        <v>25.44</v>
      </c>
      <c r="F1206" s="2">
        <v>9.56</v>
      </c>
      <c r="G1206" s="1">
        <f t="shared" si="75"/>
        <v>0.37578616352201261</v>
      </c>
      <c r="H1206" s="2">
        <v>1.5</v>
      </c>
      <c r="I1206" s="26">
        <v>0.75138888888888899</v>
      </c>
      <c r="J1206" s="26">
        <v>0.79166666666666663</v>
      </c>
      <c r="K1206" s="27">
        <f>Table3[[#This Row],[Delivery Time]]-Table3[[#This Row],[Order Time]]</f>
        <v>4.0277777777777635E-2</v>
      </c>
      <c r="L1206" s="43">
        <v>58.000000000000007</v>
      </c>
      <c r="M1206" s="25" t="s">
        <v>11</v>
      </c>
      <c r="N1206" s="28"/>
      <c r="O1206" s="28" t="s">
        <v>39</v>
      </c>
      <c r="P1206" s="25" t="s">
        <v>20</v>
      </c>
    </row>
    <row r="1207" spans="1:16" x14ac:dyDescent="0.25">
      <c r="A1207" s="23">
        <f t="shared" si="76"/>
        <v>1206</v>
      </c>
      <c r="B1207" s="24">
        <v>43353</v>
      </c>
      <c r="C1207" s="18" t="str">
        <f t="shared" si="73"/>
        <v>Monday</v>
      </c>
      <c r="D1207" s="10" t="str">
        <f t="shared" si="74"/>
        <v>Same</v>
      </c>
      <c r="E1207" s="2">
        <v>15.7</v>
      </c>
      <c r="F1207" s="2">
        <v>4.3</v>
      </c>
      <c r="G1207" s="1">
        <f t="shared" si="75"/>
        <v>0.27388535031847133</v>
      </c>
      <c r="H1207" s="2">
        <v>1.5</v>
      </c>
      <c r="I1207" s="26">
        <v>0.75416666666666676</v>
      </c>
      <c r="J1207" s="26">
        <v>0.79861111111111116</v>
      </c>
      <c r="K1207" s="27">
        <f>Table3[[#This Row],[Delivery Time]]-Table3[[#This Row],[Order Time]]</f>
        <v>4.4444444444444398E-2</v>
      </c>
      <c r="L1207" s="43">
        <v>64</v>
      </c>
      <c r="M1207" s="25" t="s">
        <v>11</v>
      </c>
      <c r="N1207" s="28"/>
      <c r="O1207" s="28" t="s">
        <v>39</v>
      </c>
      <c r="P1207" s="25" t="s">
        <v>20</v>
      </c>
    </row>
    <row r="1208" spans="1:16" x14ac:dyDescent="0.25">
      <c r="A1208" s="23">
        <f t="shared" si="76"/>
        <v>1207</v>
      </c>
      <c r="B1208" s="24">
        <v>43353</v>
      </c>
      <c r="C1208" s="18" t="str">
        <f t="shared" si="73"/>
        <v>Monday</v>
      </c>
      <c r="D1208" s="10" t="str">
        <f t="shared" si="74"/>
        <v>Same</v>
      </c>
      <c r="E1208" s="2">
        <v>43.24</v>
      </c>
      <c r="F1208" s="2">
        <v>5</v>
      </c>
      <c r="G1208" s="1">
        <f t="shared" si="75"/>
        <v>0.11563367252543941</v>
      </c>
      <c r="H1208" s="2">
        <v>1.5</v>
      </c>
      <c r="I1208" s="26">
        <v>0.7631944444444444</v>
      </c>
      <c r="J1208" s="26">
        <v>0.80625000000000002</v>
      </c>
      <c r="K1208" s="27">
        <f>Table3[[#This Row],[Delivery Time]]-Table3[[#This Row],[Order Time]]</f>
        <v>4.3055555555555625E-2</v>
      </c>
      <c r="L1208" s="43">
        <v>62.000000000000007</v>
      </c>
      <c r="M1208" s="25" t="s">
        <v>0</v>
      </c>
      <c r="N1208" s="28"/>
      <c r="O1208" s="28" t="s">
        <v>39</v>
      </c>
      <c r="P1208" s="25" t="s">
        <v>20</v>
      </c>
    </row>
    <row r="1209" spans="1:16" x14ac:dyDescent="0.25">
      <c r="A1209" s="23">
        <f t="shared" si="76"/>
        <v>1208</v>
      </c>
      <c r="B1209" s="24">
        <v>43353</v>
      </c>
      <c r="C1209" s="18" t="str">
        <f t="shared" si="73"/>
        <v>Monday</v>
      </c>
      <c r="D1209" s="10" t="str">
        <f t="shared" si="74"/>
        <v>Same</v>
      </c>
      <c r="E1209" s="2">
        <v>38.65</v>
      </c>
      <c r="F1209" s="2">
        <v>7</v>
      </c>
      <c r="G1209" s="1">
        <f t="shared" si="75"/>
        <v>0.18111254851228978</v>
      </c>
      <c r="H1209" s="2">
        <v>5</v>
      </c>
      <c r="I1209" s="26">
        <v>0.79652777777777783</v>
      </c>
      <c r="J1209" s="26">
        <v>0.82500000000000007</v>
      </c>
      <c r="K1209" s="27">
        <f>Table3[[#This Row],[Delivery Time]]-Table3[[#This Row],[Order Time]]</f>
        <v>2.8472222222222232E-2</v>
      </c>
      <c r="L1209" s="43">
        <v>41</v>
      </c>
      <c r="M1209" s="25" t="s">
        <v>0</v>
      </c>
      <c r="N1209" s="28"/>
      <c r="O1209" s="28" t="s">
        <v>39</v>
      </c>
      <c r="P1209" s="25" t="s">
        <v>20</v>
      </c>
    </row>
    <row r="1210" spans="1:16" x14ac:dyDescent="0.25">
      <c r="A1210" s="23">
        <f t="shared" si="76"/>
        <v>1209</v>
      </c>
      <c r="B1210" s="24">
        <v>43353</v>
      </c>
      <c r="C1210" s="18" t="str">
        <f t="shared" si="73"/>
        <v>Monday</v>
      </c>
      <c r="D1210" s="10" t="str">
        <f t="shared" si="74"/>
        <v>Same</v>
      </c>
      <c r="E1210" s="2">
        <v>52.5</v>
      </c>
      <c r="F1210" s="2">
        <v>8.5</v>
      </c>
      <c r="G1210" s="1">
        <f t="shared" si="75"/>
        <v>0.16190476190476191</v>
      </c>
      <c r="H1210" s="2">
        <v>1.5</v>
      </c>
      <c r="I1210" s="26">
        <v>0.80486111111111114</v>
      </c>
      <c r="J1210" s="26">
        <v>0.84583333333333333</v>
      </c>
      <c r="K1210" s="27">
        <f>Table3[[#This Row],[Delivery Time]]-Table3[[#This Row],[Order Time]]</f>
        <v>4.0972222222222188E-2</v>
      </c>
      <c r="L1210" s="43">
        <v>59</v>
      </c>
      <c r="M1210" s="25" t="s">
        <v>11</v>
      </c>
      <c r="N1210" s="28"/>
      <c r="O1210" s="28" t="s">
        <v>41</v>
      </c>
      <c r="P1210" s="25" t="s">
        <v>20</v>
      </c>
    </row>
    <row r="1211" spans="1:16" x14ac:dyDescent="0.25">
      <c r="A1211" s="23">
        <f t="shared" si="76"/>
        <v>1210</v>
      </c>
      <c r="B1211" s="24">
        <v>43353</v>
      </c>
      <c r="C1211" s="18" t="str">
        <f t="shared" si="73"/>
        <v>Monday</v>
      </c>
      <c r="D1211" s="10" t="str">
        <f t="shared" si="74"/>
        <v>Same</v>
      </c>
      <c r="E1211" s="2">
        <v>48.83</v>
      </c>
      <c r="F1211" s="2">
        <v>8.77</v>
      </c>
      <c r="G1211" s="1">
        <f t="shared" si="75"/>
        <v>0.17960270325619496</v>
      </c>
      <c r="H1211" s="2">
        <v>5</v>
      </c>
      <c r="I1211" s="26">
        <v>0.88958333333333339</v>
      </c>
      <c r="J1211" s="26">
        <v>0.91805555555555562</v>
      </c>
      <c r="K1211" s="27">
        <f>Table3[[#This Row],[Delivery Time]]-Table3[[#This Row],[Order Time]]</f>
        <v>2.8472222222222232E-2</v>
      </c>
      <c r="L1211" s="43">
        <v>41</v>
      </c>
      <c r="M1211" s="25" t="s">
        <v>0</v>
      </c>
      <c r="N1211" s="28"/>
      <c r="O1211" s="28" t="s">
        <v>39</v>
      </c>
      <c r="P1211" s="25" t="s">
        <v>20</v>
      </c>
    </row>
    <row r="1212" spans="1:16" x14ac:dyDescent="0.25">
      <c r="A1212" s="23">
        <f t="shared" si="76"/>
        <v>1211</v>
      </c>
      <c r="B1212" s="24">
        <v>43358</v>
      </c>
      <c r="C1212" s="18" t="str">
        <f t="shared" si="73"/>
        <v>Saturday</v>
      </c>
      <c r="D1212" s="10" t="str">
        <f t="shared" si="74"/>
        <v>Different</v>
      </c>
      <c r="E1212" s="2">
        <v>94.45</v>
      </c>
      <c r="F1212" s="2">
        <v>15</v>
      </c>
      <c r="G1212" s="1">
        <f t="shared" si="75"/>
        <v>0.15881418740074113</v>
      </c>
      <c r="H1212" s="2">
        <v>5</v>
      </c>
      <c r="I1212" s="26">
        <v>0.72916666666666663</v>
      </c>
      <c r="J1212" s="26">
        <v>0.72916666666666663</v>
      </c>
      <c r="K1212" s="27">
        <f>Table3[[#This Row],[Delivery Time]]-Table3[[#This Row],[Order Time]]</f>
        <v>0</v>
      </c>
      <c r="L1212" s="43">
        <v>0</v>
      </c>
      <c r="M1212" s="25" t="s">
        <v>0</v>
      </c>
      <c r="N1212" s="28"/>
      <c r="O1212" s="28" t="s">
        <v>39</v>
      </c>
      <c r="P1212" s="25" t="s">
        <v>16</v>
      </c>
    </row>
    <row r="1213" spans="1:16" x14ac:dyDescent="0.25">
      <c r="A1213" s="23">
        <f t="shared" si="76"/>
        <v>1212</v>
      </c>
      <c r="B1213" s="24">
        <v>43358</v>
      </c>
      <c r="C1213" s="18" t="str">
        <f t="shared" si="73"/>
        <v>Saturday</v>
      </c>
      <c r="D1213" s="10" t="str">
        <f t="shared" si="74"/>
        <v>Same</v>
      </c>
      <c r="E1213" s="2">
        <v>50.55</v>
      </c>
      <c r="F1213" s="2">
        <v>10</v>
      </c>
      <c r="G1213" s="1">
        <f t="shared" si="75"/>
        <v>0.19782393669634027</v>
      </c>
      <c r="H1213" s="2">
        <v>1.5</v>
      </c>
      <c r="I1213" s="26">
        <v>0.70694444444444438</v>
      </c>
      <c r="J1213" s="26">
        <v>0.74652777777777779</v>
      </c>
      <c r="K1213" s="27">
        <f>Table3[[#This Row],[Delivery Time]]-Table3[[#This Row],[Order Time]]</f>
        <v>3.9583333333333415E-2</v>
      </c>
      <c r="L1213" s="43">
        <v>57</v>
      </c>
      <c r="M1213" s="25" t="s">
        <v>0</v>
      </c>
      <c r="N1213" s="28" t="s">
        <v>22</v>
      </c>
      <c r="O1213" s="28" t="s">
        <v>39</v>
      </c>
      <c r="P1213" s="25" t="s">
        <v>20</v>
      </c>
    </row>
    <row r="1214" spans="1:16" x14ac:dyDescent="0.25">
      <c r="A1214" s="23">
        <f t="shared" si="76"/>
        <v>1213</v>
      </c>
      <c r="B1214" s="24">
        <v>43358</v>
      </c>
      <c r="C1214" s="18" t="str">
        <f t="shared" si="73"/>
        <v>Saturday</v>
      </c>
      <c r="D1214" s="10" t="str">
        <f t="shared" si="74"/>
        <v>Same</v>
      </c>
      <c r="E1214" s="2">
        <v>22.41</v>
      </c>
      <c r="F1214" s="2">
        <v>3</v>
      </c>
      <c r="G1214" s="1">
        <f t="shared" si="75"/>
        <v>0.13386880856760375</v>
      </c>
      <c r="H1214" s="2">
        <v>1.5</v>
      </c>
      <c r="I1214" s="26">
        <v>0.75902777777777775</v>
      </c>
      <c r="J1214" s="26">
        <v>0.78055555555555556</v>
      </c>
      <c r="K1214" s="27">
        <f>Table3[[#This Row],[Delivery Time]]-Table3[[#This Row],[Order Time]]</f>
        <v>2.1527777777777812E-2</v>
      </c>
      <c r="L1214" s="43">
        <v>31.000000000000004</v>
      </c>
      <c r="M1214" s="25" t="s">
        <v>11</v>
      </c>
      <c r="N1214" s="28"/>
      <c r="O1214" s="28" t="s">
        <v>39</v>
      </c>
      <c r="P1214" s="25" t="s">
        <v>20</v>
      </c>
    </row>
    <row r="1215" spans="1:16" x14ac:dyDescent="0.25">
      <c r="A1215" s="23">
        <f t="shared" si="76"/>
        <v>1214</v>
      </c>
      <c r="B1215" s="24">
        <v>43358</v>
      </c>
      <c r="C1215" s="18" t="str">
        <f t="shared" si="73"/>
        <v>Saturday</v>
      </c>
      <c r="D1215" s="10" t="str">
        <f t="shared" si="74"/>
        <v>Same</v>
      </c>
      <c r="E1215" s="2">
        <v>104.57</v>
      </c>
      <c r="F1215" s="2">
        <v>20</v>
      </c>
      <c r="G1215" s="1">
        <f t="shared" si="75"/>
        <v>0.1912594434350196</v>
      </c>
      <c r="H1215" s="2">
        <v>1.5</v>
      </c>
      <c r="I1215" s="26">
        <v>0.79999999999999993</v>
      </c>
      <c r="J1215" s="26">
        <v>0.82152777777777775</v>
      </c>
      <c r="K1215" s="27">
        <f>Table3[[#This Row],[Delivery Time]]-Table3[[#This Row],[Order Time]]</f>
        <v>2.1527777777777812E-2</v>
      </c>
      <c r="L1215" s="43">
        <v>31.000000000000004</v>
      </c>
      <c r="M1215" s="25" t="s">
        <v>0</v>
      </c>
      <c r="N1215" s="28" t="s">
        <v>22</v>
      </c>
      <c r="O1215" s="28" t="s">
        <v>39</v>
      </c>
      <c r="P1215" s="25" t="s">
        <v>20</v>
      </c>
    </row>
    <row r="1216" spans="1:16" x14ac:dyDescent="0.25">
      <c r="A1216" s="23">
        <f t="shared" si="76"/>
        <v>1215</v>
      </c>
      <c r="B1216" s="24">
        <v>43358</v>
      </c>
      <c r="C1216" s="18" t="str">
        <f t="shared" si="73"/>
        <v>Saturday</v>
      </c>
      <c r="D1216" s="10" t="str">
        <f t="shared" si="74"/>
        <v>Same</v>
      </c>
      <c r="E1216" s="2">
        <v>48.93</v>
      </c>
      <c r="F1216" s="2">
        <v>5</v>
      </c>
      <c r="G1216" s="1">
        <f t="shared" si="75"/>
        <v>0.10218679746576742</v>
      </c>
      <c r="H1216" s="2">
        <v>1.5</v>
      </c>
      <c r="I1216" s="26">
        <v>0.80347222222222225</v>
      </c>
      <c r="J1216" s="26">
        <v>0.82361111111111107</v>
      </c>
      <c r="K1216" s="27">
        <f>Table3[[#This Row],[Delivery Time]]-Table3[[#This Row],[Order Time]]</f>
        <v>2.0138888888888817E-2</v>
      </c>
      <c r="L1216" s="43">
        <v>29.000000000000004</v>
      </c>
      <c r="M1216" s="25" t="s">
        <v>0</v>
      </c>
      <c r="N1216" s="28" t="s">
        <v>22</v>
      </c>
      <c r="O1216" s="28" t="s">
        <v>39</v>
      </c>
      <c r="P1216" s="25" t="s">
        <v>20</v>
      </c>
    </row>
    <row r="1217" spans="1:16" x14ac:dyDescent="0.25">
      <c r="A1217" s="23">
        <f t="shared" si="76"/>
        <v>1216</v>
      </c>
      <c r="B1217" s="24">
        <v>43358</v>
      </c>
      <c r="C1217" s="18" t="str">
        <f t="shared" si="73"/>
        <v>Saturday</v>
      </c>
      <c r="D1217" s="10" t="str">
        <f t="shared" si="74"/>
        <v>Same</v>
      </c>
      <c r="E1217" s="2">
        <v>45.19</v>
      </c>
      <c r="F1217" s="2">
        <v>7</v>
      </c>
      <c r="G1217" s="1">
        <f t="shared" si="75"/>
        <v>0.15490152688647932</v>
      </c>
      <c r="H1217" s="2">
        <v>1.5</v>
      </c>
      <c r="I1217" s="26">
        <v>0.82847222222222217</v>
      </c>
      <c r="J1217" s="26">
        <v>0.84583333333333333</v>
      </c>
      <c r="K1217" s="27">
        <f>Table3[[#This Row],[Delivery Time]]-Table3[[#This Row],[Order Time]]</f>
        <v>1.736111111111116E-2</v>
      </c>
      <c r="L1217" s="43">
        <v>25</v>
      </c>
      <c r="M1217" s="25" t="s">
        <v>11</v>
      </c>
      <c r="N1217" s="28"/>
      <c r="O1217" s="28" t="s">
        <v>39</v>
      </c>
      <c r="P1217" s="25" t="s">
        <v>20</v>
      </c>
    </row>
    <row r="1218" spans="1:16" x14ac:dyDescent="0.25">
      <c r="A1218" s="23">
        <f t="shared" si="76"/>
        <v>1217</v>
      </c>
      <c r="B1218" s="24">
        <v>43358</v>
      </c>
      <c r="C1218" s="18" t="str">
        <f t="shared" si="73"/>
        <v>Saturday</v>
      </c>
      <c r="D1218" s="10" t="str">
        <f t="shared" si="74"/>
        <v>Same</v>
      </c>
      <c r="E1218" s="2">
        <v>40.590000000000003</v>
      </c>
      <c r="F1218" s="2">
        <v>0</v>
      </c>
      <c r="G1218" s="1">
        <f t="shared" si="75"/>
        <v>0</v>
      </c>
      <c r="H1218" s="2">
        <v>5</v>
      </c>
      <c r="I1218" s="26">
        <v>0.85902777777777783</v>
      </c>
      <c r="J1218" s="26">
        <v>0.88402777777777775</v>
      </c>
      <c r="K1218" s="27">
        <f>Table3[[#This Row],[Delivery Time]]-Table3[[#This Row],[Order Time]]</f>
        <v>2.4999999999999911E-2</v>
      </c>
      <c r="L1218" s="43">
        <v>36</v>
      </c>
      <c r="M1218" s="25" t="s">
        <v>0</v>
      </c>
      <c r="N1218" s="28"/>
      <c r="O1218" s="28" t="s">
        <v>39</v>
      </c>
      <c r="P1218" s="25" t="s">
        <v>20</v>
      </c>
    </row>
    <row r="1219" spans="1:16" x14ac:dyDescent="0.25">
      <c r="A1219" s="23">
        <f t="shared" si="76"/>
        <v>1218</v>
      </c>
      <c r="B1219" s="24">
        <v>43358</v>
      </c>
      <c r="C1219" s="18" t="str">
        <f t="shared" si="73"/>
        <v>Saturday</v>
      </c>
      <c r="D1219" s="10" t="str">
        <f t="shared" si="74"/>
        <v>Same</v>
      </c>
      <c r="E1219" s="2">
        <v>57.37</v>
      </c>
      <c r="F1219" s="2">
        <v>4</v>
      </c>
      <c r="G1219" s="1">
        <f t="shared" si="75"/>
        <v>6.9722851664633087E-2</v>
      </c>
      <c r="H1219" s="2">
        <v>1.5</v>
      </c>
      <c r="I1219" s="26">
        <v>0.86388888888888893</v>
      </c>
      <c r="J1219" s="26">
        <v>0.89722222222222225</v>
      </c>
      <c r="K1219" s="27">
        <f>Table3[[#This Row],[Delivery Time]]-Table3[[#This Row],[Order Time]]</f>
        <v>3.3333333333333326E-2</v>
      </c>
      <c r="L1219" s="43">
        <v>48</v>
      </c>
      <c r="M1219" s="25" t="s">
        <v>12</v>
      </c>
      <c r="N1219" s="28"/>
      <c r="O1219" s="28" t="s">
        <v>39</v>
      </c>
      <c r="P1219" s="25" t="s">
        <v>20</v>
      </c>
    </row>
    <row r="1220" spans="1:16" x14ac:dyDescent="0.25">
      <c r="A1220" s="23">
        <f t="shared" si="76"/>
        <v>1219</v>
      </c>
      <c r="B1220" s="24">
        <v>43359</v>
      </c>
      <c r="C1220" s="18" t="str">
        <f t="shared" si="73"/>
        <v>Sunday</v>
      </c>
      <c r="D1220" s="10" t="str">
        <f t="shared" si="74"/>
        <v>Different</v>
      </c>
      <c r="E1220" s="2">
        <v>74.31</v>
      </c>
      <c r="F1220" s="2">
        <v>13.85</v>
      </c>
      <c r="G1220" s="1">
        <f t="shared" si="75"/>
        <v>0.18638137531960705</v>
      </c>
      <c r="H1220" s="2">
        <v>1.5</v>
      </c>
      <c r="I1220" s="26">
        <v>0.72361111111111109</v>
      </c>
      <c r="J1220" s="26">
        <v>0.74930555555555556</v>
      </c>
      <c r="K1220" s="27">
        <f>Table3[[#This Row],[Delivery Time]]-Table3[[#This Row],[Order Time]]</f>
        <v>2.5694444444444464E-2</v>
      </c>
      <c r="L1220" s="43">
        <v>37</v>
      </c>
      <c r="M1220" s="25" t="s">
        <v>0</v>
      </c>
      <c r="N1220" s="28" t="s">
        <v>22</v>
      </c>
      <c r="O1220" s="28" t="s">
        <v>39</v>
      </c>
      <c r="P1220" s="25" t="s">
        <v>20</v>
      </c>
    </row>
    <row r="1221" spans="1:16" x14ac:dyDescent="0.25">
      <c r="A1221" s="23">
        <f t="shared" si="76"/>
        <v>1220</v>
      </c>
      <c r="B1221" s="24">
        <v>43359</v>
      </c>
      <c r="C1221" s="18" t="str">
        <f t="shared" si="73"/>
        <v>Sunday</v>
      </c>
      <c r="D1221" s="10" t="str">
        <f t="shared" si="74"/>
        <v>Same</v>
      </c>
      <c r="E1221" s="2">
        <v>43.19</v>
      </c>
      <c r="F1221" s="2">
        <v>10</v>
      </c>
      <c r="G1221" s="1">
        <f t="shared" si="75"/>
        <v>0.23153507756425099</v>
      </c>
      <c r="H1221" s="2">
        <v>1.5</v>
      </c>
      <c r="I1221" s="26">
        <v>0.73055555555555562</v>
      </c>
      <c r="J1221" s="26">
        <v>0.75416666666666676</v>
      </c>
      <c r="K1221" s="27">
        <f>Table3[[#This Row],[Delivery Time]]-Table3[[#This Row],[Order Time]]</f>
        <v>2.3611111111111138E-2</v>
      </c>
      <c r="L1221" s="43">
        <v>34</v>
      </c>
      <c r="M1221" s="25" t="s">
        <v>0</v>
      </c>
      <c r="N1221" s="28" t="s">
        <v>22</v>
      </c>
      <c r="O1221" s="28" t="s">
        <v>39</v>
      </c>
      <c r="P1221" s="25" t="s">
        <v>20</v>
      </c>
    </row>
    <row r="1222" spans="1:16" x14ac:dyDescent="0.25">
      <c r="A1222" s="23">
        <f t="shared" si="76"/>
        <v>1221</v>
      </c>
      <c r="B1222" s="24">
        <v>43359</v>
      </c>
      <c r="C1222" s="18" t="str">
        <f t="shared" ref="C1222:C1256" si="77">TEXT(B1222,"dddd")</f>
        <v>Sunday</v>
      </c>
      <c r="D1222" s="10" t="str">
        <f t="shared" ref="D1222:D1256" si="78">IF(B1221=B1222, "Same", "Different")</f>
        <v>Same</v>
      </c>
      <c r="E1222" s="2">
        <v>49.69</v>
      </c>
      <c r="F1222" s="2">
        <v>10</v>
      </c>
      <c r="G1222" s="1">
        <f t="shared" ref="G1222:G1228" si="79">F1222/E1222</f>
        <v>0.20124773596297044</v>
      </c>
      <c r="H1222" s="2">
        <v>1.5</v>
      </c>
      <c r="I1222" s="26">
        <v>0.74652777777777779</v>
      </c>
      <c r="J1222" s="26">
        <v>0.79513888888888884</v>
      </c>
      <c r="K1222" s="27">
        <f>Table3[[#This Row],[Delivery Time]]-Table3[[#This Row],[Order Time]]</f>
        <v>4.8611111111111049E-2</v>
      </c>
      <c r="L1222" s="43">
        <v>70</v>
      </c>
      <c r="M1222" s="25" t="s">
        <v>0</v>
      </c>
      <c r="N1222" s="28"/>
      <c r="O1222" s="28" t="s">
        <v>39</v>
      </c>
      <c r="P1222" s="25" t="s">
        <v>20</v>
      </c>
    </row>
    <row r="1223" spans="1:16" x14ac:dyDescent="0.25">
      <c r="A1223" s="23">
        <f t="shared" si="76"/>
        <v>1222</v>
      </c>
      <c r="B1223" s="24">
        <v>43359</v>
      </c>
      <c r="C1223" s="18" t="str">
        <f t="shared" si="77"/>
        <v>Sunday</v>
      </c>
      <c r="D1223" s="10" t="str">
        <f t="shared" si="78"/>
        <v>Same</v>
      </c>
      <c r="E1223" s="2">
        <v>43.79</v>
      </c>
      <c r="F1223" s="2">
        <v>7</v>
      </c>
      <c r="G1223" s="1">
        <f t="shared" si="79"/>
        <v>0.15985384791048185</v>
      </c>
      <c r="H1223" s="2">
        <v>1.5</v>
      </c>
      <c r="I1223" s="26">
        <v>0.75486111111111109</v>
      </c>
      <c r="J1223" s="26">
        <v>0.79999999999999993</v>
      </c>
      <c r="K1223" s="27">
        <f>Table3[[#This Row],[Delivery Time]]-Table3[[#This Row],[Order Time]]</f>
        <v>4.513888888888884E-2</v>
      </c>
      <c r="L1223" s="43">
        <v>65</v>
      </c>
      <c r="M1223" s="25" t="s">
        <v>0</v>
      </c>
      <c r="N1223" s="28"/>
      <c r="O1223" s="28" t="s">
        <v>39</v>
      </c>
      <c r="P1223" s="25" t="s">
        <v>20</v>
      </c>
    </row>
    <row r="1224" spans="1:16" x14ac:dyDescent="0.25">
      <c r="A1224" s="23">
        <f t="shared" si="76"/>
        <v>1223</v>
      </c>
      <c r="B1224" s="24">
        <v>43359</v>
      </c>
      <c r="C1224" s="18" t="str">
        <f t="shared" si="77"/>
        <v>Sunday</v>
      </c>
      <c r="D1224" s="10" t="str">
        <f t="shared" si="78"/>
        <v>Same</v>
      </c>
      <c r="E1224" s="2">
        <v>46.44</v>
      </c>
      <c r="F1224" s="2">
        <v>7</v>
      </c>
      <c r="G1224" s="1">
        <f t="shared" si="79"/>
        <v>0.15073212747631354</v>
      </c>
      <c r="H1224" s="2">
        <v>5</v>
      </c>
      <c r="I1224" s="26">
        <v>0.77361111111111114</v>
      </c>
      <c r="J1224" s="26">
        <v>0.80902777777777779</v>
      </c>
      <c r="K1224" s="27">
        <f>Table3[[#This Row],[Delivery Time]]-Table3[[#This Row],[Order Time]]</f>
        <v>3.5416666666666652E-2</v>
      </c>
      <c r="L1224" s="43">
        <v>51</v>
      </c>
      <c r="M1224" s="25" t="s">
        <v>0</v>
      </c>
      <c r="N1224" s="28"/>
      <c r="O1224" s="28" t="s">
        <v>39</v>
      </c>
      <c r="P1224" s="25" t="s">
        <v>20</v>
      </c>
    </row>
    <row r="1225" spans="1:16" x14ac:dyDescent="0.25">
      <c r="A1225" s="23">
        <f t="shared" si="76"/>
        <v>1224</v>
      </c>
      <c r="B1225" s="24">
        <v>43359</v>
      </c>
      <c r="C1225" s="18" t="str">
        <f t="shared" si="77"/>
        <v>Sunday</v>
      </c>
      <c r="D1225" s="10" t="str">
        <f t="shared" si="78"/>
        <v>Same</v>
      </c>
      <c r="E1225" s="2">
        <v>19.7</v>
      </c>
      <c r="F1225" s="2">
        <v>4</v>
      </c>
      <c r="G1225" s="1">
        <f t="shared" si="79"/>
        <v>0.20304568527918782</v>
      </c>
      <c r="H1225" s="2">
        <v>1.5</v>
      </c>
      <c r="I1225" s="26">
        <v>0.77430555555555547</v>
      </c>
      <c r="J1225" s="26">
        <v>0.81944444444444453</v>
      </c>
      <c r="K1225" s="27">
        <f>Table3[[#This Row],[Delivery Time]]-Table3[[#This Row],[Order Time]]</f>
        <v>4.5138888888889062E-2</v>
      </c>
      <c r="L1225" s="43">
        <v>65</v>
      </c>
      <c r="M1225" s="25" t="s">
        <v>0</v>
      </c>
      <c r="N1225" s="28"/>
      <c r="O1225" s="28" t="s">
        <v>39</v>
      </c>
      <c r="P1225" s="25" t="s">
        <v>20</v>
      </c>
    </row>
    <row r="1226" spans="1:16" x14ac:dyDescent="0.25">
      <c r="A1226" s="23">
        <f t="shared" si="76"/>
        <v>1225</v>
      </c>
      <c r="B1226" s="24">
        <v>43359</v>
      </c>
      <c r="C1226" s="18" t="str">
        <f t="shared" si="77"/>
        <v>Sunday</v>
      </c>
      <c r="D1226" s="10" t="str">
        <f t="shared" si="78"/>
        <v>Same</v>
      </c>
      <c r="E1226" s="2">
        <v>16.239999999999998</v>
      </c>
      <c r="F1226" s="2">
        <v>3.76</v>
      </c>
      <c r="G1226" s="1">
        <f t="shared" si="79"/>
        <v>0.23152709359605914</v>
      </c>
      <c r="H1226" s="2">
        <v>1.5</v>
      </c>
      <c r="I1226" s="26">
        <v>0.79027777777777775</v>
      </c>
      <c r="J1226" s="26">
        <v>0.83888888888888891</v>
      </c>
      <c r="K1226" s="27">
        <f>Table3[[#This Row],[Delivery Time]]-Table3[[#This Row],[Order Time]]</f>
        <v>4.861111111111116E-2</v>
      </c>
      <c r="L1226" s="43">
        <v>70</v>
      </c>
      <c r="M1226" s="25" t="s">
        <v>0</v>
      </c>
      <c r="N1226" s="28"/>
      <c r="O1226" s="28" t="s">
        <v>41</v>
      </c>
      <c r="P1226" s="25" t="s">
        <v>20</v>
      </c>
    </row>
    <row r="1227" spans="1:16" x14ac:dyDescent="0.25">
      <c r="A1227" s="23">
        <f t="shared" si="76"/>
        <v>1226</v>
      </c>
      <c r="B1227" s="24">
        <v>43359</v>
      </c>
      <c r="C1227" s="18" t="str">
        <f t="shared" si="77"/>
        <v>Sunday</v>
      </c>
      <c r="D1227" s="10" t="str">
        <f t="shared" si="78"/>
        <v>Same</v>
      </c>
      <c r="E1227" s="2">
        <v>35.67</v>
      </c>
      <c r="F1227" s="2">
        <v>5</v>
      </c>
      <c r="G1227" s="1">
        <f t="shared" si="79"/>
        <v>0.14017381553125877</v>
      </c>
      <c r="H1227" s="2">
        <v>1.5</v>
      </c>
      <c r="I1227" s="26">
        <v>0.79722222222222217</v>
      </c>
      <c r="J1227" s="26">
        <v>0.84513888888888899</v>
      </c>
      <c r="K1227" s="27">
        <f>Table3[[#This Row],[Delivery Time]]-Table3[[#This Row],[Order Time]]</f>
        <v>4.7916666666666829E-2</v>
      </c>
      <c r="L1227" s="43">
        <v>69</v>
      </c>
      <c r="M1227" s="25" t="s">
        <v>0</v>
      </c>
      <c r="N1227" s="28"/>
      <c r="O1227" s="28" t="s">
        <v>39</v>
      </c>
      <c r="P1227" s="25" t="s">
        <v>20</v>
      </c>
    </row>
    <row r="1228" spans="1:16" x14ac:dyDescent="0.25">
      <c r="A1228" s="23">
        <f t="shared" si="76"/>
        <v>1227</v>
      </c>
      <c r="B1228" s="24">
        <v>43359</v>
      </c>
      <c r="C1228" s="18" t="str">
        <f t="shared" si="77"/>
        <v>Sunday</v>
      </c>
      <c r="D1228" s="10" t="str">
        <f t="shared" si="78"/>
        <v>Same</v>
      </c>
      <c r="E1228" s="2">
        <v>33.5</v>
      </c>
      <c r="F1228" s="2">
        <v>3</v>
      </c>
      <c r="G1228" s="1">
        <f t="shared" si="79"/>
        <v>8.9552238805970144E-2</v>
      </c>
      <c r="H1228" s="2">
        <v>5</v>
      </c>
      <c r="I1228" s="26">
        <v>0.80208333333333337</v>
      </c>
      <c r="J1228" s="26">
        <v>0.85555555555555562</v>
      </c>
      <c r="K1228" s="27">
        <f>Table3[[#This Row],[Delivery Time]]-Table3[[#This Row],[Order Time]]</f>
        <v>5.3472222222222254E-2</v>
      </c>
      <c r="L1228" s="43">
        <v>77</v>
      </c>
      <c r="M1228" s="25" t="s">
        <v>0</v>
      </c>
      <c r="N1228" s="28"/>
      <c r="O1228" s="28" t="s">
        <v>39</v>
      </c>
      <c r="P1228" s="25" t="s">
        <v>20</v>
      </c>
    </row>
    <row r="1229" spans="1:16" x14ac:dyDescent="0.25">
      <c r="A1229" s="23">
        <f t="shared" ref="A1229:A1230" si="80">ROW(A1228)</f>
        <v>1228</v>
      </c>
      <c r="B1229" s="24">
        <v>43364</v>
      </c>
      <c r="C1229" s="18" t="str">
        <f t="shared" si="77"/>
        <v>Friday</v>
      </c>
      <c r="D1229" s="10" t="str">
        <f t="shared" si="78"/>
        <v>Different</v>
      </c>
      <c r="E1229" s="2">
        <v>47.79</v>
      </c>
      <c r="F1229" s="2">
        <v>10</v>
      </c>
      <c r="G1229" s="1">
        <f t="shared" ref="G1229:G1230" si="81">F1229/E1229</f>
        <v>0.2092487968194183</v>
      </c>
      <c r="H1229" s="2">
        <v>5</v>
      </c>
      <c r="I1229" s="26">
        <v>0.74861111111111101</v>
      </c>
      <c r="J1229" s="26">
        <v>0.78472222222222221</v>
      </c>
      <c r="K1229" s="27">
        <f>Table3[[#This Row],[Delivery Time]]-Table3[[#This Row],[Order Time]]</f>
        <v>3.6111111111111205E-2</v>
      </c>
      <c r="L1229" s="43">
        <v>52</v>
      </c>
      <c r="M1229" s="25" t="s">
        <v>0</v>
      </c>
      <c r="N1229" s="28"/>
      <c r="O1229" s="28" t="s">
        <v>39</v>
      </c>
      <c r="P1229" s="25" t="s">
        <v>20</v>
      </c>
    </row>
    <row r="1230" spans="1:16" x14ac:dyDescent="0.25">
      <c r="A1230" s="23">
        <f t="shared" si="80"/>
        <v>1229</v>
      </c>
      <c r="B1230" s="24">
        <v>43364</v>
      </c>
      <c r="C1230" s="18" t="str">
        <f t="shared" si="77"/>
        <v>Friday</v>
      </c>
      <c r="D1230" s="10" t="str">
        <f t="shared" si="78"/>
        <v>Same</v>
      </c>
      <c r="E1230" s="2">
        <v>23.49</v>
      </c>
      <c r="F1230" s="2">
        <v>15.51</v>
      </c>
      <c r="G1230" s="1">
        <f t="shared" si="81"/>
        <v>0.66028097062579827</v>
      </c>
      <c r="H1230" s="2">
        <v>5</v>
      </c>
      <c r="I1230" s="26">
        <v>0.75208333333333333</v>
      </c>
      <c r="J1230" s="26">
        <v>0.79513888888888884</v>
      </c>
      <c r="K1230" s="27">
        <f>Table3[[#This Row],[Delivery Time]]-Table3[[#This Row],[Order Time]]</f>
        <v>4.3055555555555514E-2</v>
      </c>
      <c r="L1230" s="43">
        <v>62.000000000000007</v>
      </c>
      <c r="M1230" s="25" t="s">
        <v>0</v>
      </c>
      <c r="N1230" s="28"/>
      <c r="O1230" s="28" t="s">
        <v>39</v>
      </c>
      <c r="P1230" s="25" t="s">
        <v>20</v>
      </c>
    </row>
    <row r="1231" spans="1:16" x14ac:dyDescent="0.25">
      <c r="A1231" s="23">
        <f t="shared" ref="A1231:A1235" si="82">ROW(A1230)</f>
        <v>1230</v>
      </c>
      <c r="B1231" s="24">
        <v>43364</v>
      </c>
      <c r="C1231" s="18" t="str">
        <f t="shared" si="77"/>
        <v>Friday</v>
      </c>
      <c r="D1231" s="10" t="str">
        <f t="shared" si="78"/>
        <v>Same</v>
      </c>
      <c r="E1231" s="2">
        <v>42.65</v>
      </c>
      <c r="F1231" s="2">
        <v>6</v>
      </c>
      <c r="G1231" s="1">
        <f t="shared" ref="G1231:G1235" si="83">F1231/E1231</f>
        <v>0.1406799531066823</v>
      </c>
      <c r="H1231" s="2">
        <v>5</v>
      </c>
      <c r="I1231" s="26">
        <v>0.75069444444444444</v>
      </c>
      <c r="J1231" s="26">
        <v>0.80069444444444438</v>
      </c>
      <c r="K1231" s="27">
        <f>Table3[[#This Row],[Delivery Time]]-Table3[[#This Row],[Order Time]]</f>
        <v>4.9999999999999933E-2</v>
      </c>
      <c r="L1231" s="43">
        <v>72</v>
      </c>
      <c r="M1231" s="25" t="s">
        <v>0</v>
      </c>
      <c r="N1231" s="28"/>
      <c r="O1231" s="28" t="s">
        <v>39</v>
      </c>
      <c r="P1231" s="25" t="s">
        <v>20</v>
      </c>
    </row>
    <row r="1232" spans="1:16" x14ac:dyDescent="0.25">
      <c r="A1232" s="23">
        <f t="shared" si="82"/>
        <v>1231</v>
      </c>
      <c r="B1232" s="24">
        <v>43364</v>
      </c>
      <c r="C1232" s="18" t="str">
        <f t="shared" si="77"/>
        <v>Friday</v>
      </c>
      <c r="D1232" s="10" t="str">
        <f t="shared" si="78"/>
        <v>Same</v>
      </c>
      <c r="E1232" s="2">
        <v>25.44</v>
      </c>
      <c r="F1232" s="2">
        <v>4.5599999999999996</v>
      </c>
      <c r="G1232" s="1">
        <f t="shared" si="83"/>
        <v>0.17924528301886791</v>
      </c>
      <c r="H1232" s="2">
        <v>1.5</v>
      </c>
      <c r="I1232" s="26">
        <v>0.75694444444444453</v>
      </c>
      <c r="J1232" s="26">
        <v>0.80833333333333324</v>
      </c>
      <c r="K1232" s="27">
        <f>Table3[[#This Row],[Delivery Time]]-Table3[[#This Row],[Order Time]]</f>
        <v>5.1388888888888706E-2</v>
      </c>
      <c r="L1232" s="43">
        <v>74</v>
      </c>
      <c r="M1232" s="25" t="s">
        <v>0</v>
      </c>
      <c r="N1232" s="28"/>
      <c r="O1232" s="28" t="s">
        <v>39</v>
      </c>
      <c r="P1232" s="25" t="s">
        <v>20</v>
      </c>
    </row>
    <row r="1233" spans="1:16" x14ac:dyDescent="0.25">
      <c r="A1233" s="23">
        <f t="shared" si="82"/>
        <v>1232</v>
      </c>
      <c r="B1233" s="24">
        <v>43364</v>
      </c>
      <c r="C1233" s="18" t="str">
        <f t="shared" si="77"/>
        <v>Friday</v>
      </c>
      <c r="D1233" s="10" t="str">
        <f t="shared" si="78"/>
        <v>Same</v>
      </c>
      <c r="E1233" s="2">
        <v>50.23</v>
      </c>
      <c r="F1233" s="2">
        <v>9.76</v>
      </c>
      <c r="G1233" s="1">
        <f t="shared" si="83"/>
        <v>0.19430619151901254</v>
      </c>
      <c r="H1233" s="2">
        <v>5</v>
      </c>
      <c r="I1233" s="26">
        <v>0.80763888888888891</v>
      </c>
      <c r="J1233" s="26">
        <v>0.84097222222222223</v>
      </c>
      <c r="K1233" s="27">
        <f>Table3[[#This Row],[Delivery Time]]-Table3[[#This Row],[Order Time]]</f>
        <v>3.3333333333333326E-2</v>
      </c>
      <c r="L1233" s="43">
        <v>48</v>
      </c>
      <c r="M1233" s="25" t="s">
        <v>0</v>
      </c>
      <c r="N1233" s="28"/>
      <c r="O1233" s="28" t="s">
        <v>39</v>
      </c>
      <c r="P1233" s="25" t="s">
        <v>20</v>
      </c>
    </row>
    <row r="1234" spans="1:16" x14ac:dyDescent="0.25">
      <c r="A1234" s="23">
        <f t="shared" si="82"/>
        <v>1233</v>
      </c>
      <c r="B1234" s="24">
        <v>43364</v>
      </c>
      <c r="C1234" s="18" t="str">
        <f t="shared" si="77"/>
        <v>Friday</v>
      </c>
      <c r="D1234" s="10" t="str">
        <f t="shared" si="78"/>
        <v>Same</v>
      </c>
      <c r="E1234" s="2">
        <v>34.590000000000003</v>
      </c>
      <c r="F1234" s="2">
        <v>4.41</v>
      </c>
      <c r="G1234" s="1">
        <f t="shared" si="83"/>
        <v>0.12749349522983519</v>
      </c>
      <c r="H1234" s="2">
        <v>5</v>
      </c>
      <c r="I1234" s="26">
        <v>0.80972222222222223</v>
      </c>
      <c r="J1234" s="26">
        <v>0.85069444444444453</v>
      </c>
      <c r="K1234" s="27">
        <f>Table3[[#This Row],[Delivery Time]]-Table3[[#This Row],[Order Time]]</f>
        <v>4.0972222222222299E-2</v>
      </c>
      <c r="L1234" s="43">
        <v>59</v>
      </c>
      <c r="M1234" s="25" t="s">
        <v>0</v>
      </c>
      <c r="N1234" s="28"/>
      <c r="O1234" s="28" t="s">
        <v>39</v>
      </c>
      <c r="P1234" s="25" t="s">
        <v>20</v>
      </c>
    </row>
    <row r="1235" spans="1:16" x14ac:dyDescent="0.25">
      <c r="A1235" s="23">
        <f t="shared" si="82"/>
        <v>1234</v>
      </c>
      <c r="B1235" s="24">
        <v>43364</v>
      </c>
      <c r="C1235" s="18" t="str">
        <f t="shared" si="77"/>
        <v>Friday</v>
      </c>
      <c r="D1235" s="10" t="str">
        <f t="shared" si="78"/>
        <v>Same</v>
      </c>
      <c r="E1235" s="2">
        <v>20.03</v>
      </c>
      <c r="F1235" s="2">
        <v>4</v>
      </c>
      <c r="G1235" s="1">
        <f t="shared" si="83"/>
        <v>0.19970044932601097</v>
      </c>
      <c r="H1235" s="2">
        <v>1.5</v>
      </c>
      <c r="I1235" s="26">
        <v>0.84722222222222221</v>
      </c>
      <c r="J1235" s="26">
        <v>0.8847222222222223</v>
      </c>
      <c r="K1235" s="27">
        <f>Table3[[#This Row],[Delivery Time]]-Table3[[#This Row],[Order Time]]</f>
        <v>3.7500000000000089E-2</v>
      </c>
      <c r="L1235" s="43">
        <v>53.999999999999993</v>
      </c>
      <c r="M1235" s="25" t="s">
        <v>12</v>
      </c>
      <c r="N1235" s="28"/>
      <c r="O1235" s="28" t="s">
        <v>39</v>
      </c>
      <c r="P1235" s="25" t="s">
        <v>20</v>
      </c>
    </row>
    <row r="1236" spans="1:16" x14ac:dyDescent="0.25">
      <c r="A1236" s="23">
        <f>ROW(A1235)</f>
        <v>1235</v>
      </c>
      <c r="B1236" s="24">
        <v>43364</v>
      </c>
      <c r="C1236" s="18" t="str">
        <f t="shared" si="77"/>
        <v>Friday</v>
      </c>
      <c r="D1236" s="10" t="str">
        <f t="shared" si="78"/>
        <v>Same</v>
      </c>
      <c r="E1236" s="2">
        <v>41.14</v>
      </c>
      <c r="F1236" s="2">
        <v>10</v>
      </c>
      <c r="G1236" s="1">
        <f>F1236/E1236</f>
        <v>0.24307243558580457</v>
      </c>
      <c r="H1236" s="2">
        <v>1.5</v>
      </c>
      <c r="I1236" s="26">
        <v>0.84791666666666676</v>
      </c>
      <c r="J1236" s="26">
        <v>0.90069444444444446</v>
      </c>
      <c r="K1236" s="27">
        <f>Table3[[#This Row],[Delivery Time]]-Table3[[#This Row],[Order Time]]</f>
        <v>5.2777777777777701E-2</v>
      </c>
      <c r="L1236" s="43">
        <v>76</v>
      </c>
      <c r="M1236" s="25" t="s">
        <v>0</v>
      </c>
      <c r="N1236" s="28"/>
      <c r="O1236" s="28" t="s">
        <v>41</v>
      </c>
      <c r="P1236" s="25" t="s">
        <v>20</v>
      </c>
    </row>
    <row r="1237" spans="1:16" x14ac:dyDescent="0.25">
      <c r="A1237" s="23">
        <f>ROW(A1236)</f>
        <v>1236</v>
      </c>
      <c r="B1237" s="24">
        <v>43365</v>
      </c>
      <c r="C1237" s="18" t="str">
        <f t="shared" si="77"/>
        <v>Saturday</v>
      </c>
      <c r="D1237" s="10" t="str">
        <f t="shared" si="78"/>
        <v>Different</v>
      </c>
      <c r="E1237" s="2">
        <v>44.82</v>
      </c>
      <c r="F1237" s="2">
        <v>3</v>
      </c>
      <c r="G1237" s="1">
        <f>F1237/E1237</f>
        <v>6.6934404283801874E-2</v>
      </c>
      <c r="H1237" s="2">
        <v>5</v>
      </c>
      <c r="I1237" s="26">
        <v>0.6958333333333333</v>
      </c>
      <c r="J1237" s="26">
        <v>0.72638888888888886</v>
      </c>
      <c r="K1237" s="27">
        <f>Table3[[#This Row],[Delivery Time]]-Table3[[#This Row],[Order Time]]</f>
        <v>3.0555555555555558E-2</v>
      </c>
      <c r="L1237" s="43">
        <v>44</v>
      </c>
      <c r="M1237" s="25" t="s">
        <v>0</v>
      </c>
      <c r="N1237" s="28"/>
      <c r="O1237" s="28" t="s">
        <v>39</v>
      </c>
      <c r="P1237" s="25" t="s">
        <v>20</v>
      </c>
    </row>
    <row r="1238" spans="1:16" x14ac:dyDescent="0.25">
      <c r="A1238" s="23">
        <f>ROW(A1237)</f>
        <v>1237</v>
      </c>
      <c r="B1238" s="24">
        <v>43365</v>
      </c>
      <c r="C1238" s="18" t="str">
        <f t="shared" si="77"/>
        <v>Saturday</v>
      </c>
      <c r="D1238" s="10" t="str">
        <f t="shared" si="78"/>
        <v>Same</v>
      </c>
      <c r="E1238" s="2">
        <v>43.19</v>
      </c>
      <c r="F1238" s="2">
        <v>6</v>
      </c>
      <c r="G1238" s="1">
        <f t="shared" ref="G1238:G1239" si="84">F1238/E1238</f>
        <v>0.13892104653855059</v>
      </c>
      <c r="H1238" s="2">
        <v>1.5</v>
      </c>
      <c r="I1238" s="26">
        <v>0.73541666666666661</v>
      </c>
      <c r="J1238" s="26">
        <v>0.76527777777777783</v>
      </c>
      <c r="K1238" s="27">
        <f>Table3[[#This Row],[Delivery Time]]-Table3[[#This Row],[Order Time]]</f>
        <v>2.9861111111111227E-2</v>
      </c>
      <c r="L1238" s="43">
        <v>43</v>
      </c>
      <c r="M1238" s="25" t="s">
        <v>0</v>
      </c>
      <c r="N1238" s="28"/>
      <c r="O1238" s="28" t="s">
        <v>39</v>
      </c>
      <c r="P1238" s="25" t="s">
        <v>20</v>
      </c>
    </row>
    <row r="1239" spans="1:16" x14ac:dyDescent="0.25">
      <c r="A1239" s="23">
        <f t="shared" ref="A1239" si="85">ROW(A1238)</f>
        <v>1238</v>
      </c>
      <c r="B1239" s="24">
        <v>43365</v>
      </c>
      <c r="C1239" s="18" t="str">
        <f t="shared" si="77"/>
        <v>Saturday</v>
      </c>
      <c r="D1239" s="10" t="str">
        <f t="shared" si="78"/>
        <v>Same</v>
      </c>
      <c r="E1239" s="2">
        <v>36.479999999999997</v>
      </c>
      <c r="F1239" s="2">
        <v>5</v>
      </c>
      <c r="G1239" s="1">
        <f t="shared" si="84"/>
        <v>0.13706140350877194</v>
      </c>
      <c r="H1239" s="2">
        <v>1.5</v>
      </c>
      <c r="I1239" s="26">
        <v>0.74236111111111114</v>
      </c>
      <c r="J1239" s="26">
        <v>0.77430555555555547</v>
      </c>
      <c r="K1239" s="27">
        <f>Table3[[#This Row],[Delivery Time]]-Table3[[#This Row],[Order Time]]</f>
        <v>3.1944444444444331E-2</v>
      </c>
      <c r="L1239" s="43">
        <v>46.000000000000007</v>
      </c>
      <c r="M1239" s="25" t="s">
        <v>0</v>
      </c>
      <c r="N1239" s="28"/>
      <c r="O1239" s="28" t="s">
        <v>39</v>
      </c>
      <c r="P1239" s="25" t="s">
        <v>20</v>
      </c>
    </row>
    <row r="1240" spans="1:16" x14ac:dyDescent="0.25">
      <c r="A1240" s="23">
        <f t="shared" ref="A1240:A1242" si="86">ROW(A1239)</f>
        <v>1239</v>
      </c>
      <c r="B1240" s="24">
        <v>43365</v>
      </c>
      <c r="C1240" s="18" t="str">
        <f t="shared" si="77"/>
        <v>Saturday</v>
      </c>
      <c r="D1240" s="10" t="str">
        <f t="shared" si="78"/>
        <v>Same</v>
      </c>
      <c r="E1240" s="2">
        <v>41.89</v>
      </c>
      <c r="F1240" s="2">
        <v>6</v>
      </c>
      <c r="G1240" s="1">
        <f t="shared" ref="G1240:G1242" si="87">F1240/E1240</f>
        <v>0.143232275005968</v>
      </c>
      <c r="H1240" s="2">
        <v>1.5</v>
      </c>
      <c r="I1240" s="26">
        <v>0.75</v>
      </c>
      <c r="J1240" s="26">
        <v>0.77986111111111101</v>
      </c>
      <c r="K1240" s="27">
        <f>Table3[[#This Row],[Delivery Time]]-Table3[[#This Row],[Order Time]]</f>
        <v>2.9861111111111005E-2</v>
      </c>
      <c r="L1240" s="43">
        <v>43</v>
      </c>
      <c r="M1240" s="25" t="s">
        <v>0</v>
      </c>
      <c r="N1240" s="28"/>
      <c r="O1240" s="28" t="s">
        <v>39</v>
      </c>
      <c r="P1240" s="25" t="s">
        <v>20</v>
      </c>
    </row>
    <row r="1241" spans="1:16" x14ac:dyDescent="0.25">
      <c r="A1241" s="23">
        <f t="shared" si="86"/>
        <v>1240</v>
      </c>
      <c r="B1241" s="24">
        <v>43365</v>
      </c>
      <c r="C1241" s="18" t="str">
        <f t="shared" si="77"/>
        <v>Saturday</v>
      </c>
      <c r="D1241" s="10" t="str">
        <f t="shared" si="78"/>
        <v>Same</v>
      </c>
      <c r="E1241" s="2">
        <v>38.369999999999997</v>
      </c>
      <c r="F1241" s="2">
        <v>3</v>
      </c>
      <c r="G1241" s="1">
        <f t="shared" si="87"/>
        <v>7.8186082877247862E-2</v>
      </c>
      <c r="H1241" s="2">
        <v>1.5</v>
      </c>
      <c r="I1241" s="26">
        <v>0.76944444444444438</v>
      </c>
      <c r="J1241" s="26">
        <v>0.80625000000000002</v>
      </c>
      <c r="K1241" s="27">
        <f>Table3[[#This Row],[Delivery Time]]-Table3[[#This Row],[Order Time]]</f>
        <v>3.6805555555555647E-2</v>
      </c>
      <c r="L1241" s="43">
        <v>53</v>
      </c>
      <c r="M1241" s="25" t="s">
        <v>0</v>
      </c>
      <c r="N1241" s="28"/>
      <c r="O1241" s="28" t="s">
        <v>39</v>
      </c>
      <c r="P1241" s="25" t="s">
        <v>20</v>
      </c>
    </row>
    <row r="1242" spans="1:16" x14ac:dyDescent="0.25">
      <c r="A1242" s="23">
        <f t="shared" si="86"/>
        <v>1241</v>
      </c>
      <c r="B1242" s="24">
        <v>43365</v>
      </c>
      <c r="C1242" s="18" t="str">
        <f t="shared" si="77"/>
        <v>Saturday</v>
      </c>
      <c r="D1242" s="10" t="str">
        <f t="shared" si="78"/>
        <v>Same</v>
      </c>
      <c r="E1242" s="2">
        <v>28.15</v>
      </c>
      <c r="F1242" s="2">
        <v>5</v>
      </c>
      <c r="G1242" s="1">
        <f t="shared" si="87"/>
        <v>0.17761989342806395</v>
      </c>
      <c r="H1242" s="2">
        <v>1.5</v>
      </c>
      <c r="I1242" s="26">
        <v>0.77986111111111101</v>
      </c>
      <c r="J1242" s="26">
        <v>0.8208333333333333</v>
      </c>
      <c r="K1242" s="27">
        <f>Table3[[#This Row],[Delivery Time]]-Table3[[#This Row],[Order Time]]</f>
        <v>4.0972222222222299E-2</v>
      </c>
      <c r="L1242" s="43">
        <v>59</v>
      </c>
      <c r="M1242" s="25" t="s">
        <v>0</v>
      </c>
      <c r="N1242" s="28"/>
      <c r="O1242" s="28" t="s">
        <v>39</v>
      </c>
      <c r="P1242" s="25" t="s">
        <v>20</v>
      </c>
    </row>
    <row r="1243" spans="1:16" x14ac:dyDescent="0.25">
      <c r="A1243" s="23">
        <f t="shared" ref="A1243:A1246" si="88">ROW(A1242)</f>
        <v>1242</v>
      </c>
      <c r="B1243" s="24">
        <v>43365</v>
      </c>
      <c r="C1243" s="18" t="str">
        <f t="shared" si="77"/>
        <v>Saturday</v>
      </c>
      <c r="D1243" s="10" t="str">
        <f t="shared" si="78"/>
        <v>Same</v>
      </c>
      <c r="E1243" s="2">
        <v>21.05</v>
      </c>
      <c r="F1243" s="2">
        <v>10</v>
      </c>
      <c r="G1243" s="1">
        <f t="shared" ref="G1243:G1246" si="89">F1243/E1243</f>
        <v>0.47505938242280282</v>
      </c>
      <c r="H1243" s="2">
        <v>1.5</v>
      </c>
      <c r="I1243" s="26">
        <v>0.8208333333333333</v>
      </c>
      <c r="J1243" s="26">
        <v>0.84375</v>
      </c>
      <c r="K1243" s="27">
        <f>Table3[[#This Row],[Delivery Time]]-Table3[[#This Row],[Order Time]]</f>
        <v>2.2916666666666696E-2</v>
      </c>
      <c r="L1243" s="43">
        <v>33</v>
      </c>
      <c r="M1243" s="25" t="s">
        <v>0</v>
      </c>
      <c r="N1243" s="28"/>
      <c r="O1243" s="28" t="s">
        <v>39</v>
      </c>
      <c r="P1243" s="25" t="s">
        <v>20</v>
      </c>
    </row>
    <row r="1244" spans="1:16" x14ac:dyDescent="0.25">
      <c r="A1244" s="23">
        <f t="shared" si="88"/>
        <v>1243</v>
      </c>
      <c r="B1244" s="24">
        <v>43365</v>
      </c>
      <c r="C1244" s="18" t="str">
        <f t="shared" si="77"/>
        <v>Saturday</v>
      </c>
      <c r="D1244" s="10" t="str">
        <f t="shared" si="78"/>
        <v>Same</v>
      </c>
      <c r="E1244" s="2">
        <v>22.14</v>
      </c>
      <c r="F1244" s="2">
        <v>3</v>
      </c>
      <c r="G1244" s="1">
        <f t="shared" si="89"/>
        <v>0.13550135501355012</v>
      </c>
      <c r="H1244" s="2">
        <v>1.5</v>
      </c>
      <c r="I1244" s="26">
        <v>0.82638888888888884</v>
      </c>
      <c r="J1244" s="26">
        <v>0.85277777777777775</v>
      </c>
      <c r="K1244" s="27">
        <f>Table3[[#This Row],[Delivery Time]]-Table3[[#This Row],[Order Time]]</f>
        <v>2.6388888888888906E-2</v>
      </c>
      <c r="L1244" s="43">
        <v>38</v>
      </c>
      <c r="M1244" s="25" t="s">
        <v>0</v>
      </c>
      <c r="N1244" s="28" t="s">
        <v>22</v>
      </c>
      <c r="O1244" s="28" t="s">
        <v>39</v>
      </c>
      <c r="P1244" s="25" t="s">
        <v>20</v>
      </c>
    </row>
    <row r="1245" spans="1:16" x14ac:dyDescent="0.25">
      <c r="A1245" s="23">
        <f t="shared" si="88"/>
        <v>1244</v>
      </c>
      <c r="B1245" s="24">
        <v>43365</v>
      </c>
      <c r="C1245" s="18" t="str">
        <f t="shared" si="77"/>
        <v>Saturday</v>
      </c>
      <c r="D1245" s="10" t="str">
        <f t="shared" si="78"/>
        <v>Same</v>
      </c>
      <c r="E1245" s="2">
        <v>19.43</v>
      </c>
      <c r="F1245" s="2">
        <v>3</v>
      </c>
      <c r="G1245" s="1">
        <f t="shared" si="89"/>
        <v>0.15440041173443128</v>
      </c>
      <c r="H1245" s="2">
        <v>1.5</v>
      </c>
      <c r="I1245" s="26">
        <v>0.83750000000000002</v>
      </c>
      <c r="J1245" s="26">
        <v>0.87708333333333333</v>
      </c>
      <c r="K1245" s="27">
        <f>Table3[[#This Row],[Delivery Time]]-Table3[[#This Row],[Order Time]]</f>
        <v>3.9583333333333304E-2</v>
      </c>
      <c r="L1245" s="43">
        <v>57</v>
      </c>
      <c r="M1245" s="25" t="s">
        <v>0</v>
      </c>
      <c r="N1245" s="28" t="s">
        <v>22</v>
      </c>
      <c r="O1245" s="28" t="s">
        <v>39</v>
      </c>
      <c r="P1245" s="25" t="s">
        <v>20</v>
      </c>
    </row>
    <row r="1246" spans="1:16" x14ac:dyDescent="0.25">
      <c r="A1246" s="23">
        <f t="shared" si="88"/>
        <v>1245</v>
      </c>
      <c r="B1246" s="24">
        <v>43365</v>
      </c>
      <c r="C1246" s="18" t="str">
        <f t="shared" si="77"/>
        <v>Saturday</v>
      </c>
      <c r="D1246" s="10" t="str">
        <f t="shared" si="78"/>
        <v>Same</v>
      </c>
      <c r="E1246" s="2">
        <v>24.9</v>
      </c>
      <c r="F1246" s="2">
        <v>5.0999999999999996</v>
      </c>
      <c r="G1246" s="1">
        <f t="shared" si="89"/>
        <v>0.20481927710843373</v>
      </c>
      <c r="H1246" s="2">
        <v>1.5</v>
      </c>
      <c r="I1246" s="26">
        <v>0.8569444444444444</v>
      </c>
      <c r="J1246" s="26">
        <v>0.88541666666666663</v>
      </c>
      <c r="K1246" s="27">
        <f>Table3[[#This Row],[Delivery Time]]-Table3[[#This Row],[Order Time]]</f>
        <v>2.8472222222222232E-2</v>
      </c>
      <c r="L1246" s="43">
        <v>41</v>
      </c>
      <c r="M1246" s="25" t="s">
        <v>0</v>
      </c>
      <c r="N1246" s="28" t="s">
        <v>25</v>
      </c>
      <c r="O1246" s="28" t="s">
        <v>39</v>
      </c>
      <c r="P1246" s="25" t="s">
        <v>20</v>
      </c>
    </row>
    <row r="1247" spans="1:16" x14ac:dyDescent="0.25">
      <c r="A1247" s="23">
        <f>ROW(A1246)</f>
        <v>1246</v>
      </c>
      <c r="B1247" s="24">
        <v>43365</v>
      </c>
      <c r="C1247" s="18" t="str">
        <f t="shared" si="77"/>
        <v>Saturday</v>
      </c>
      <c r="D1247" s="10" t="str">
        <f t="shared" si="78"/>
        <v>Same</v>
      </c>
      <c r="E1247" s="2">
        <v>25.98</v>
      </c>
      <c r="F1247" s="2">
        <v>24.02</v>
      </c>
      <c r="G1247" s="1">
        <f t="shared" ref="G1247:G1248" si="90">F1247/E1247</f>
        <v>0.92455735180908383</v>
      </c>
      <c r="H1247" s="2">
        <v>1.5</v>
      </c>
      <c r="I1247" s="26">
        <v>0.90069444444444446</v>
      </c>
      <c r="J1247" s="26">
        <v>0.9145833333333333</v>
      </c>
      <c r="K1247" s="27">
        <f>Table3[[#This Row],[Delivery Time]]-Table3[[#This Row],[Order Time]]</f>
        <v>1.388888888888884E-2</v>
      </c>
      <c r="L1247" s="43">
        <v>20</v>
      </c>
      <c r="M1247" s="25" t="s">
        <v>0</v>
      </c>
      <c r="N1247" s="28"/>
      <c r="O1247" s="28" t="s">
        <v>39</v>
      </c>
      <c r="P1247" s="25" t="s">
        <v>20</v>
      </c>
    </row>
    <row r="1248" spans="1:16" x14ac:dyDescent="0.25">
      <c r="A1248" s="23">
        <f t="shared" ref="A1248" si="91">ROW(A1247)</f>
        <v>1247</v>
      </c>
      <c r="B1248" s="24">
        <v>43365</v>
      </c>
      <c r="C1248" s="18" t="str">
        <f t="shared" si="77"/>
        <v>Saturday</v>
      </c>
      <c r="D1248" s="10" t="str">
        <f t="shared" si="78"/>
        <v>Same</v>
      </c>
      <c r="E1248" s="2">
        <v>54.29</v>
      </c>
      <c r="F1248" s="2">
        <v>5.71</v>
      </c>
      <c r="G1248" s="1">
        <f t="shared" si="90"/>
        <v>0.10517590716522381</v>
      </c>
      <c r="H1248" s="2">
        <v>1.5</v>
      </c>
      <c r="I1248" s="26">
        <v>0.89583333333333337</v>
      </c>
      <c r="J1248" s="26">
        <v>0.92569444444444438</v>
      </c>
      <c r="K1248" s="27">
        <f>Table3[[#This Row],[Delivery Time]]-Table3[[#This Row],[Order Time]]</f>
        <v>2.9861111111111005E-2</v>
      </c>
      <c r="L1248" s="43">
        <v>43</v>
      </c>
      <c r="M1248" s="25" t="s">
        <v>0</v>
      </c>
      <c r="N1248" s="28"/>
      <c r="O1248" s="28" t="s">
        <v>41</v>
      </c>
      <c r="P1248" s="25" t="s">
        <v>20</v>
      </c>
    </row>
    <row r="1249" spans="1:16" x14ac:dyDescent="0.25">
      <c r="A1249" s="23">
        <f t="shared" ref="A1249:A1250" si="92">ROW(A1248)</f>
        <v>1248</v>
      </c>
      <c r="B1249" s="24">
        <v>43366</v>
      </c>
      <c r="C1249" s="18" t="str">
        <f t="shared" si="77"/>
        <v>Sunday</v>
      </c>
      <c r="D1249" s="10" t="str">
        <f t="shared" si="78"/>
        <v>Different</v>
      </c>
      <c r="E1249" s="2">
        <v>85.14</v>
      </c>
      <c r="F1249" s="2">
        <v>5</v>
      </c>
      <c r="G1249" s="1">
        <f t="shared" ref="G1249:G1250" si="93">F1249/E1249</f>
        <v>5.8726802912849423E-2</v>
      </c>
      <c r="H1249" s="2">
        <v>5</v>
      </c>
      <c r="I1249" s="26">
        <v>0.68680555555555556</v>
      </c>
      <c r="J1249" s="26">
        <v>0.72291666666666676</v>
      </c>
      <c r="K1249" s="27">
        <f>Table3[[#This Row],[Delivery Time]]-Table3[[#This Row],[Order Time]]</f>
        <v>3.6111111111111205E-2</v>
      </c>
      <c r="L1249" s="43">
        <v>52</v>
      </c>
      <c r="M1249" s="25" t="s">
        <v>27</v>
      </c>
      <c r="N1249" s="28"/>
      <c r="O1249" s="28" t="s">
        <v>39</v>
      </c>
      <c r="P1249" s="25" t="s">
        <v>20</v>
      </c>
    </row>
    <row r="1250" spans="1:16" x14ac:dyDescent="0.25">
      <c r="A1250" s="23">
        <f t="shared" si="92"/>
        <v>1249</v>
      </c>
      <c r="B1250" s="24">
        <v>43366</v>
      </c>
      <c r="C1250" s="18" t="str">
        <f t="shared" si="77"/>
        <v>Sunday</v>
      </c>
      <c r="D1250" s="10" t="str">
        <f t="shared" si="78"/>
        <v>Same</v>
      </c>
      <c r="E1250" s="2">
        <v>42.7</v>
      </c>
      <c r="F1250" s="2">
        <v>8</v>
      </c>
      <c r="G1250" s="1">
        <f t="shared" si="93"/>
        <v>0.18735362997658078</v>
      </c>
      <c r="H1250" s="2">
        <v>1.5</v>
      </c>
      <c r="I1250" s="26">
        <v>0.70208333333333339</v>
      </c>
      <c r="J1250" s="26">
        <v>0.73402777777777783</v>
      </c>
      <c r="K1250" s="27">
        <f>Table3[[#This Row],[Delivery Time]]-Table3[[#This Row],[Order Time]]</f>
        <v>3.1944444444444442E-2</v>
      </c>
      <c r="L1250" s="43">
        <v>46.000000000000007</v>
      </c>
      <c r="M1250" s="25" t="s">
        <v>0</v>
      </c>
      <c r="N1250" s="28"/>
      <c r="O1250" s="28" t="s">
        <v>39</v>
      </c>
      <c r="P1250" s="25" t="s">
        <v>20</v>
      </c>
    </row>
    <row r="1251" spans="1:16" x14ac:dyDescent="0.25">
      <c r="A1251" s="23">
        <f t="shared" ref="A1251:A1254" si="94">ROW(A1250)</f>
        <v>1250</v>
      </c>
      <c r="B1251" s="24">
        <v>43366</v>
      </c>
      <c r="C1251" s="18" t="str">
        <f t="shared" si="77"/>
        <v>Sunday</v>
      </c>
      <c r="D1251" s="10" t="str">
        <f t="shared" si="78"/>
        <v>Same</v>
      </c>
      <c r="E1251" s="2">
        <v>44.33</v>
      </c>
      <c r="F1251" s="2">
        <v>7</v>
      </c>
      <c r="G1251" s="1">
        <f t="shared" ref="G1251:G1254" si="95">F1251/E1251</f>
        <v>0.15790660951951274</v>
      </c>
      <c r="H1251" s="2">
        <v>1.5</v>
      </c>
      <c r="I1251" s="26">
        <v>0.71944444444444444</v>
      </c>
      <c r="J1251" s="26">
        <v>0.75763888888888886</v>
      </c>
      <c r="K1251" s="27">
        <f>Table3[[#This Row],[Delivery Time]]-Table3[[#This Row],[Order Time]]</f>
        <v>3.819444444444442E-2</v>
      </c>
      <c r="L1251" s="43">
        <v>54.999999999999993</v>
      </c>
      <c r="M1251" s="25" t="s">
        <v>0</v>
      </c>
      <c r="N1251" s="28"/>
      <c r="O1251" s="28" t="s">
        <v>39</v>
      </c>
      <c r="P1251" s="25" t="s">
        <v>20</v>
      </c>
    </row>
    <row r="1252" spans="1:16" x14ac:dyDescent="0.25">
      <c r="A1252" s="23">
        <f t="shared" si="94"/>
        <v>1251</v>
      </c>
      <c r="B1252" s="24">
        <v>43366</v>
      </c>
      <c r="C1252" s="18" t="str">
        <f t="shared" si="77"/>
        <v>Sunday</v>
      </c>
      <c r="D1252" s="10" t="str">
        <f t="shared" si="78"/>
        <v>Same</v>
      </c>
      <c r="E1252" s="2">
        <v>29.77</v>
      </c>
      <c r="F1252" s="2">
        <v>5</v>
      </c>
      <c r="G1252" s="1">
        <f t="shared" si="95"/>
        <v>0.16795431642593214</v>
      </c>
      <c r="H1252" s="2">
        <v>1.5</v>
      </c>
      <c r="I1252" s="26">
        <v>0.7368055555555556</v>
      </c>
      <c r="J1252" s="26">
        <v>0.7680555555555556</v>
      </c>
      <c r="K1252" s="27">
        <f>Table3[[#This Row],[Delivery Time]]-Table3[[#This Row],[Order Time]]</f>
        <v>3.125E-2</v>
      </c>
      <c r="L1252" s="43">
        <v>45</v>
      </c>
      <c r="M1252" s="25" t="s">
        <v>11</v>
      </c>
      <c r="N1252" s="28"/>
      <c r="O1252" s="28" t="s">
        <v>42</v>
      </c>
      <c r="P1252" s="25" t="s">
        <v>20</v>
      </c>
    </row>
    <row r="1253" spans="1:16" x14ac:dyDescent="0.25">
      <c r="A1253" s="23">
        <f t="shared" si="94"/>
        <v>1252</v>
      </c>
      <c r="B1253" s="24">
        <v>43366</v>
      </c>
      <c r="C1253" s="18" t="str">
        <f t="shared" si="77"/>
        <v>Sunday</v>
      </c>
      <c r="D1253" s="10" t="str">
        <f t="shared" si="78"/>
        <v>Same</v>
      </c>
      <c r="E1253" s="2">
        <v>21.05</v>
      </c>
      <c r="F1253" s="2">
        <v>4</v>
      </c>
      <c r="G1253" s="1">
        <f t="shared" si="95"/>
        <v>0.19002375296912113</v>
      </c>
      <c r="H1253" s="2">
        <v>1.5</v>
      </c>
      <c r="I1253" s="26">
        <v>0.76874999999999993</v>
      </c>
      <c r="J1253" s="26">
        <v>0.79375000000000007</v>
      </c>
      <c r="K1253" s="27">
        <f>Table3[[#This Row],[Delivery Time]]-Table3[[#This Row],[Order Time]]</f>
        <v>2.5000000000000133E-2</v>
      </c>
      <c r="L1253" s="43">
        <v>36</v>
      </c>
      <c r="M1253" s="25" t="s">
        <v>0</v>
      </c>
      <c r="N1253" s="28"/>
      <c r="O1253" s="28" t="s">
        <v>39</v>
      </c>
      <c r="P1253" s="25" t="s">
        <v>20</v>
      </c>
    </row>
    <row r="1254" spans="1:16" x14ac:dyDescent="0.25">
      <c r="A1254" s="23">
        <f t="shared" si="94"/>
        <v>1253</v>
      </c>
      <c r="B1254" s="24">
        <v>43366</v>
      </c>
      <c r="C1254" s="18" t="str">
        <f t="shared" si="77"/>
        <v>Sunday</v>
      </c>
      <c r="D1254" s="10" t="str">
        <f t="shared" si="78"/>
        <v>Same</v>
      </c>
      <c r="E1254" s="2">
        <v>41.3</v>
      </c>
      <c r="F1254" s="2">
        <v>5</v>
      </c>
      <c r="G1254" s="1">
        <f t="shared" si="95"/>
        <v>0.12106537530266345</v>
      </c>
      <c r="H1254" s="2">
        <v>1.5</v>
      </c>
      <c r="I1254" s="26">
        <v>0.77430555555555547</v>
      </c>
      <c r="J1254" s="26">
        <v>0.80138888888888893</v>
      </c>
      <c r="K1254" s="27">
        <f>Table3[[#This Row],[Delivery Time]]-Table3[[#This Row],[Order Time]]</f>
        <v>2.7083333333333459E-2</v>
      </c>
      <c r="L1254" s="43">
        <v>39</v>
      </c>
      <c r="M1254" s="25" t="s">
        <v>0</v>
      </c>
      <c r="N1254" s="28" t="s">
        <v>22</v>
      </c>
      <c r="O1254" s="28" t="s">
        <v>39</v>
      </c>
      <c r="P1254" s="25" t="s">
        <v>20</v>
      </c>
    </row>
    <row r="1255" spans="1:16" x14ac:dyDescent="0.25">
      <c r="A1255" s="23">
        <f t="shared" ref="A1255:A1256" si="96">ROW(A1254)</f>
        <v>1254</v>
      </c>
      <c r="B1255" s="24">
        <v>43366</v>
      </c>
      <c r="C1255" s="18" t="str">
        <f t="shared" si="77"/>
        <v>Sunday</v>
      </c>
      <c r="D1255" s="10" t="str">
        <f t="shared" si="78"/>
        <v>Same</v>
      </c>
      <c r="E1255" s="2">
        <v>29.77</v>
      </c>
      <c r="F1255" s="2">
        <v>3</v>
      </c>
      <c r="G1255" s="1">
        <f t="shared" ref="G1255:G1256" si="97">F1255/E1255</f>
        <v>0.10077258985555929</v>
      </c>
      <c r="H1255" s="2">
        <v>1.5</v>
      </c>
      <c r="I1255" s="26">
        <v>0.76736111111111116</v>
      </c>
      <c r="J1255" s="26">
        <v>0.80694444444444446</v>
      </c>
      <c r="K1255" s="27">
        <f>Table3[[#This Row],[Delivery Time]]-Table3[[#This Row],[Order Time]]</f>
        <v>3.9583333333333304E-2</v>
      </c>
      <c r="L1255" s="43">
        <v>57</v>
      </c>
      <c r="M1255" s="25" t="s">
        <v>0</v>
      </c>
      <c r="N1255" s="28"/>
      <c r="O1255" s="28" t="s">
        <v>39</v>
      </c>
      <c r="P1255" s="25" t="s">
        <v>20</v>
      </c>
    </row>
    <row r="1256" spans="1:16" x14ac:dyDescent="0.25">
      <c r="A1256" s="23">
        <f t="shared" si="96"/>
        <v>1255</v>
      </c>
      <c r="B1256" s="24">
        <v>43366</v>
      </c>
      <c r="C1256" s="18" t="str">
        <f t="shared" si="77"/>
        <v>Sunday</v>
      </c>
      <c r="D1256" s="10" t="str">
        <f t="shared" si="78"/>
        <v>Same</v>
      </c>
      <c r="E1256" s="2">
        <v>26.74</v>
      </c>
      <c r="F1256" s="2">
        <v>2</v>
      </c>
      <c r="G1256" s="1">
        <f t="shared" si="97"/>
        <v>7.4794315632011971E-2</v>
      </c>
      <c r="H1256" s="2">
        <v>5</v>
      </c>
      <c r="I1256" s="26">
        <v>0.78055555555555556</v>
      </c>
      <c r="J1256" s="26">
        <v>0.81388888888888899</v>
      </c>
      <c r="K1256" s="27">
        <f>Table3[[#This Row],[Delivery Time]]-Table3[[#This Row],[Order Time]]</f>
        <v>3.3333333333333437E-2</v>
      </c>
      <c r="L1256" s="43">
        <v>48</v>
      </c>
      <c r="M1256" s="25" t="s">
        <v>0</v>
      </c>
      <c r="N1256" s="28"/>
      <c r="O1256" s="28" t="s">
        <v>39</v>
      </c>
      <c r="P1256" s="25" t="s">
        <v>20</v>
      </c>
    </row>
  </sheetData>
  <mergeCells count="1">
    <mergeCell ref="A1:P3"/>
  </mergeCells>
  <dataValidations count="5">
    <dataValidation type="list" allowBlank="1" showInputMessage="1" showErrorMessage="1" sqref="M6:M791" xr:uid="{00000000-0002-0000-0000-000002000000}">
      <formula1>DefCity</formula1>
    </dataValidation>
    <dataValidation type="list" allowBlank="1" showInputMessage="1" showErrorMessage="1" sqref="P6:P791" xr:uid="{00000000-0002-0000-0000-000003000000}">
      <formula1>DefChoice</formula1>
    </dataValidation>
    <dataValidation type="list" allowBlank="1" showInputMessage="1" showErrorMessage="1" sqref="H6:H791" xr:uid="{00000000-0002-0000-0000-000006000000}">
      <formula1>DefDeliveryFee</formula1>
    </dataValidation>
    <dataValidation type="list" allowBlank="1" showInputMessage="1" showErrorMessage="1" sqref="N5:N1066 N1108:N1048576" xr:uid="{00000000-0002-0000-0000-000004000000}">
      <formula1>DefCommunity</formula1>
    </dataValidation>
    <dataValidation type="list" allowBlank="1" showInputMessage="1" showErrorMessage="1" sqref="O5:O1066 O1108:O1048576" xr:uid="{00000000-0002-0000-0000-000007000000}">
      <formula1>DefHousing</formula1>
    </dataValidation>
  </dataValidations>
  <printOptions horizontalCentered="1"/>
  <pageMargins left="0.7" right="0.7" top="0.75" bottom="0.75" header="0.3" footer="0.3"/>
  <pageSetup scale="54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3662-39D3-44A2-A1E6-08A9107A7D7D}">
  <sheetPr>
    <pageSetUpPr fitToPage="1"/>
  </sheetPr>
  <dimension ref="A1:H34"/>
  <sheetViews>
    <sheetView workbookViewId="0">
      <selection activeCell="L11" sqref="L11"/>
    </sheetView>
  </sheetViews>
  <sheetFormatPr defaultRowHeight="15" x14ac:dyDescent="0.25"/>
  <cols>
    <col min="1" max="1" width="25" bestFit="1" customWidth="1"/>
    <col min="2" max="2" width="13.85546875" bestFit="1" customWidth="1"/>
    <col min="4" max="4" width="25" bestFit="1" customWidth="1"/>
    <col min="5" max="5" width="24.5703125" bestFit="1" customWidth="1"/>
    <col min="7" max="7" width="25" bestFit="1" customWidth="1"/>
    <col min="8" max="8" width="25.7109375" bestFit="1" customWidth="1"/>
  </cols>
  <sheetData>
    <row r="1" spans="1:8" x14ac:dyDescent="0.25">
      <c r="A1" s="50" t="s">
        <v>82</v>
      </c>
      <c r="B1" s="51"/>
      <c r="C1" s="51"/>
      <c r="D1" s="51"/>
      <c r="E1" s="51"/>
      <c r="F1" s="51"/>
      <c r="G1" s="51"/>
      <c r="H1" s="51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x14ac:dyDescent="0.25">
      <c r="A3" s="51"/>
      <c r="B3" s="51"/>
      <c r="C3" s="51"/>
      <c r="D3" s="51"/>
      <c r="E3" s="51"/>
      <c r="F3" s="51"/>
      <c r="G3" s="51"/>
      <c r="H3" s="51"/>
    </row>
    <row r="5" spans="1:8" x14ac:dyDescent="0.25">
      <c r="A5" s="40" t="s">
        <v>70</v>
      </c>
      <c r="B5" t="s">
        <v>72</v>
      </c>
      <c r="D5" s="40" t="s">
        <v>70</v>
      </c>
      <c r="E5" t="s">
        <v>73</v>
      </c>
      <c r="G5" s="40" t="s">
        <v>70</v>
      </c>
      <c r="H5" t="s">
        <v>74</v>
      </c>
    </row>
    <row r="6" spans="1:8" x14ac:dyDescent="0.25">
      <c r="A6" s="41" t="s">
        <v>42</v>
      </c>
      <c r="B6" s="35">
        <v>7.7445833333333338</v>
      </c>
      <c r="D6" s="41" t="s">
        <v>40</v>
      </c>
      <c r="E6" s="42">
        <v>0.19810177112095737</v>
      </c>
      <c r="G6" s="41" t="s">
        <v>39</v>
      </c>
      <c r="H6">
        <v>998</v>
      </c>
    </row>
    <row r="7" spans="1:8" x14ac:dyDescent="0.25">
      <c r="A7" s="41" t="s">
        <v>39</v>
      </c>
      <c r="B7" s="35">
        <v>7.4383066132264561</v>
      </c>
      <c r="D7" s="41" t="s">
        <v>39</v>
      </c>
      <c r="E7" s="42">
        <v>0.1917161523352226</v>
      </c>
      <c r="G7" s="41" t="s">
        <v>41</v>
      </c>
      <c r="H7">
        <v>162</v>
      </c>
    </row>
    <row r="8" spans="1:8" x14ac:dyDescent="0.25">
      <c r="A8" s="41" t="s">
        <v>40</v>
      </c>
      <c r="B8" s="35">
        <v>6.888358208955224</v>
      </c>
      <c r="D8" s="41" t="s">
        <v>41</v>
      </c>
      <c r="E8" s="42">
        <v>0.18949876169840218</v>
      </c>
      <c r="G8" s="41" t="s">
        <v>40</v>
      </c>
      <c r="H8">
        <v>67</v>
      </c>
    </row>
    <row r="9" spans="1:8" x14ac:dyDescent="0.25">
      <c r="A9" s="41" t="s">
        <v>41</v>
      </c>
      <c r="B9" s="35">
        <v>5.3251234567901236</v>
      </c>
      <c r="D9" s="41" t="s">
        <v>42</v>
      </c>
      <c r="E9" s="42">
        <v>0.16045320429614349</v>
      </c>
      <c r="G9" s="41" t="s">
        <v>42</v>
      </c>
      <c r="H9">
        <v>24</v>
      </c>
    </row>
    <row r="10" spans="1:8" x14ac:dyDescent="0.25">
      <c r="A10" s="41" t="s">
        <v>71</v>
      </c>
      <c r="B10" s="35">
        <v>7.1410791366906485</v>
      </c>
      <c r="D10" s="41" t="s">
        <v>71</v>
      </c>
      <c r="E10" s="42">
        <v>0.19117123500711822</v>
      </c>
      <c r="G10" s="41" t="s">
        <v>71</v>
      </c>
      <c r="H10">
        <v>1251</v>
      </c>
    </row>
    <row r="12" spans="1:8" x14ac:dyDescent="0.25">
      <c r="A12" s="40" t="s">
        <v>70</v>
      </c>
      <c r="B12" t="s">
        <v>72</v>
      </c>
      <c r="D12" s="40" t="s">
        <v>70</v>
      </c>
      <c r="E12" t="s">
        <v>73</v>
      </c>
      <c r="G12" s="40" t="s">
        <v>70</v>
      </c>
      <c r="H12" t="s">
        <v>75</v>
      </c>
    </row>
    <row r="13" spans="1:8" x14ac:dyDescent="0.25">
      <c r="A13" s="41" t="s">
        <v>1</v>
      </c>
      <c r="B13" s="35">
        <v>11.666666666666666</v>
      </c>
      <c r="D13" s="41" t="s">
        <v>0</v>
      </c>
      <c r="E13" s="42">
        <v>0.19936667743939651</v>
      </c>
      <c r="G13" s="41" t="s">
        <v>0</v>
      </c>
      <c r="H13">
        <v>794</v>
      </c>
    </row>
    <row r="14" spans="1:8" x14ac:dyDescent="0.25">
      <c r="A14" s="41" t="s">
        <v>27</v>
      </c>
      <c r="B14" s="35">
        <v>8.9120000000000008</v>
      </c>
      <c r="D14" s="41" t="s">
        <v>1</v>
      </c>
      <c r="E14" s="42">
        <v>0.18441182003308676</v>
      </c>
      <c r="G14" s="41" t="s">
        <v>11</v>
      </c>
      <c r="H14">
        <v>348</v>
      </c>
    </row>
    <row r="15" spans="1:8" x14ac:dyDescent="0.25">
      <c r="A15" s="41" t="s">
        <v>36</v>
      </c>
      <c r="B15" s="35">
        <v>7.3643749999999999</v>
      </c>
      <c r="D15" s="41" t="s">
        <v>12</v>
      </c>
      <c r="E15" s="42">
        <v>0.18407904870611144</v>
      </c>
      <c r="G15" s="41" t="s">
        <v>12</v>
      </c>
      <c r="H15">
        <v>69</v>
      </c>
    </row>
    <row r="16" spans="1:8" x14ac:dyDescent="0.25">
      <c r="A16" s="41" t="s">
        <v>0</v>
      </c>
      <c r="B16" s="35">
        <v>7.2766750629722985</v>
      </c>
      <c r="D16" s="41" t="s">
        <v>36</v>
      </c>
      <c r="E16" s="42">
        <v>0.177175189780481</v>
      </c>
      <c r="G16" s="41" t="s">
        <v>36</v>
      </c>
      <c r="H16">
        <v>16</v>
      </c>
    </row>
    <row r="17" spans="1:8" x14ac:dyDescent="0.25">
      <c r="A17" s="41" t="s">
        <v>12</v>
      </c>
      <c r="B17" s="35">
        <v>7.0920289855072456</v>
      </c>
      <c r="D17" s="41" t="s">
        <v>27</v>
      </c>
      <c r="E17" s="42">
        <v>0.17694510237575228</v>
      </c>
      <c r="G17" s="41" t="s">
        <v>1</v>
      </c>
      <c r="H17">
        <v>12</v>
      </c>
    </row>
    <row r="18" spans="1:8" x14ac:dyDescent="0.25">
      <c r="A18" s="41" t="s">
        <v>11</v>
      </c>
      <c r="B18" s="35">
        <v>6.6279022988505742</v>
      </c>
      <c r="D18" s="41" t="s">
        <v>11</v>
      </c>
      <c r="E18" s="42">
        <v>0.17536881523144685</v>
      </c>
      <c r="G18" s="41" t="s">
        <v>27</v>
      </c>
      <c r="H18">
        <v>10</v>
      </c>
    </row>
    <row r="19" spans="1:8" x14ac:dyDescent="0.25">
      <c r="A19" s="41" t="s">
        <v>69</v>
      </c>
      <c r="B19" s="35">
        <v>6.5</v>
      </c>
      <c r="D19" s="41" t="s">
        <v>69</v>
      </c>
      <c r="E19" s="42">
        <v>0.15553757255814735</v>
      </c>
      <c r="G19" s="41" t="s">
        <v>69</v>
      </c>
      <c r="H19">
        <v>2</v>
      </c>
    </row>
    <row r="20" spans="1:8" x14ac:dyDescent="0.25">
      <c r="A20" s="41" t="s">
        <v>71</v>
      </c>
      <c r="B20" s="35">
        <v>7.1410791366906503</v>
      </c>
      <c r="D20" s="41" t="s">
        <v>71</v>
      </c>
      <c r="E20" s="42">
        <v>0.19117123500711797</v>
      </c>
      <c r="G20" s="41" t="s">
        <v>71</v>
      </c>
      <c r="H20">
        <v>1251</v>
      </c>
    </row>
    <row r="22" spans="1:8" x14ac:dyDescent="0.25">
      <c r="A22" s="40" t="s">
        <v>70</v>
      </c>
      <c r="B22" t="s">
        <v>72</v>
      </c>
      <c r="D22" s="40" t="s">
        <v>70</v>
      </c>
      <c r="E22" t="s">
        <v>73</v>
      </c>
      <c r="G22" s="40" t="s">
        <v>70</v>
      </c>
      <c r="H22" t="s">
        <v>76</v>
      </c>
    </row>
    <row r="23" spans="1:8" x14ac:dyDescent="0.25">
      <c r="A23" s="41" t="s">
        <v>22</v>
      </c>
      <c r="B23" s="35">
        <v>9.3666666666666671</v>
      </c>
      <c r="D23" s="41" t="s">
        <v>24</v>
      </c>
      <c r="E23" s="42">
        <v>0.25063551996066713</v>
      </c>
      <c r="G23" s="41" t="s">
        <v>22</v>
      </c>
      <c r="H23">
        <v>57</v>
      </c>
    </row>
    <row r="24" spans="1:8" x14ac:dyDescent="0.25">
      <c r="A24" s="41" t="s">
        <v>23</v>
      </c>
      <c r="B24" s="35">
        <v>9.0449999999999999</v>
      </c>
      <c r="D24" s="41" t="s">
        <v>23</v>
      </c>
      <c r="E24" s="42">
        <v>0.21117860560033613</v>
      </c>
      <c r="G24" s="41" t="s">
        <v>25</v>
      </c>
      <c r="H24">
        <v>27</v>
      </c>
    </row>
    <row r="25" spans="1:8" x14ac:dyDescent="0.25">
      <c r="A25" s="41" t="s">
        <v>25</v>
      </c>
      <c r="B25" s="35">
        <v>7.0744444444444454</v>
      </c>
      <c r="D25" s="41" t="s">
        <v>22</v>
      </c>
      <c r="E25" s="42">
        <v>0.19353608252744939</v>
      </c>
      <c r="G25" s="41" t="s">
        <v>24</v>
      </c>
      <c r="H25">
        <v>18</v>
      </c>
    </row>
    <row r="26" spans="1:8" x14ac:dyDescent="0.25">
      <c r="A26" s="41" t="s">
        <v>24</v>
      </c>
      <c r="B26" s="35">
        <v>6.221111111111111</v>
      </c>
      <c r="D26" s="41" t="s">
        <v>25</v>
      </c>
      <c r="E26" s="42">
        <v>0.18887144256153232</v>
      </c>
      <c r="G26" s="41" t="s">
        <v>26</v>
      </c>
      <c r="H26">
        <v>18</v>
      </c>
    </row>
    <row r="27" spans="1:8" x14ac:dyDescent="0.25">
      <c r="A27" s="41" t="s">
        <v>43</v>
      </c>
      <c r="B27" s="35">
        <v>5.13</v>
      </c>
      <c r="D27" s="41" t="s">
        <v>43</v>
      </c>
      <c r="E27" s="42">
        <v>0.14394780348815622</v>
      </c>
      <c r="G27" s="41" t="s">
        <v>23</v>
      </c>
      <c r="H27">
        <v>2</v>
      </c>
    </row>
    <row r="28" spans="1:8" x14ac:dyDescent="0.25">
      <c r="A28" s="41" t="s">
        <v>26</v>
      </c>
      <c r="B28" s="35">
        <v>4.5838888888888887</v>
      </c>
      <c r="D28" s="41" t="s">
        <v>26</v>
      </c>
      <c r="E28" s="42">
        <v>0.14209107417855688</v>
      </c>
      <c r="G28" s="41" t="s">
        <v>43</v>
      </c>
      <c r="H28">
        <v>2</v>
      </c>
    </row>
    <row r="29" spans="1:8" x14ac:dyDescent="0.25">
      <c r="A29" s="41" t="s">
        <v>71</v>
      </c>
      <c r="B29" s="35">
        <v>7.6431451612903194</v>
      </c>
      <c r="D29" s="41" t="s">
        <v>71</v>
      </c>
      <c r="E29" s="42">
        <v>0.19282594488636298</v>
      </c>
      <c r="G29" s="41" t="s">
        <v>71</v>
      </c>
      <c r="H29">
        <v>124</v>
      </c>
    </row>
    <row r="33" customFormat="1" x14ac:dyDescent="0.25"/>
    <row r="34" customFormat="1" x14ac:dyDescent="0.25"/>
  </sheetData>
  <mergeCells count="1">
    <mergeCell ref="A1:H3"/>
  </mergeCells>
  <printOptions horizontalCentered="1"/>
  <pageMargins left="0.7" right="0.7" top="0.75" bottom="0.75" header="0.3" footer="0.3"/>
  <pageSetup scale="77" fitToHeight="0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D365-D9AF-4DA5-B85B-7911FDB3BCF0}">
  <sheetPr>
    <pageSetUpPr fitToPage="1"/>
  </sheetPr>
  <dimension ref="A1:W3"/>
  <sheetViews>
    <sheetView zoomScaleNormal="100" workbookViewId="0">
      <selection activeCell="Z4" sqref="Y4:Z5"/>
    </sheetView>
  </sheetViews>
  <sheetFormatPr defaultRowHeight="15" x14ac:dyDescent="0.25"/>
  <sheetData>
    <row r="1" spans="1:23" x14ac:dyDescent="0.25">
      <c r="A1" s="50" t="s">
        <v>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</sheetData>
  <mergeCells count="1">
    <mergeCell ref="A1:W3"/>
  </mergeCells>
  <printOptions horizontalCentered="1"/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3753-D3EB-4353-8D8A-41D1ADDDE5FC}">
  <sheetPr>
    <pageSetUpPr fitToPage="1"/>
  </sheetPr>
  <dimension ref="A1:V3"/>
  <sheetViews>
    <sheetView zoomScale="85" zoomScaleNormal="85" workbookViewId="0">
      <selection activeCell="AE11" sqref="AE11"/>
    </sheetView>
  </sheetViews>
  <sheetFormatPr defaultRowHeight="15" x14ac:dyDescent="0.25"/>
  <sheetData>
    <row r="1" spans="1:22" x14ac:dyDescent="0.25">
      <c r="A1" s="52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</sheetData>
  <mergeCells count="1">
    <mergeCell ref="A1:V3"/>
  </mergeCells>
  <printOptions horizontalCentered="1"/>
  <pageMargins left="0.7" right="0.45" top="0.75" bottom="0.75" header="0.3" footer="0.3"/>
  <pageSetup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55"/>
  <sheetViews>
    <sheetView zoomScaleNormal="100" workbookViewId="0">
      <selection activeCell="J56" sqref="J56"/>
    </sheetView>
  </sheetViews>
  <sheetFormatPr defaultColWidth="9.140625" defaultRowHeight="15" x14ac:dyDescent="0.25"/>
  <cols>
    <col min="1" max="2" width="9.140625" style="3"/>
    <col min="3" max="3" width="9.140625" style="3" customWidth="1"/>
    <col min="4" max="7" width="9.140625" style="3"/>
    <col min="8" max="8" width="9.140625" style="3" customWidth="1"/>
    <col min="9" max="10" width="9.140625" style="3"/>
    <col min="11" max="11" width="11.42578125" style="3" bestFit="1" customWidth="1"/>
    <col min="12" max="12" width="10.5703125" style="3" customWidth="1"/>
    <col min="13" max="14" width="9.140625" style="3"/>
    <col min="15" max="15" width="9.7109375" style="3" bestFit="1" customWidth="1"/>
    <col min="16" max="17" width="9.140625" style="3"/>
    <col min="18" max="18" width="10.140625" style="3" bestFit="1" customWidth="1"/>
    <col min="19" max="16384" width="9.140625" style="3"/>
  </cols>
  <sheetData>
    <row r="1" spans="1:19" customFormat="1" ht="15" customHeight="1" x14ac:dyDescent="0.25">
      <c r="A1" s="50" t="s">
        <v>79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67"/>
    </row>
    <row r="2" spans="1:19" customFormat="1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67"/>
    </row>
    <row r="3" spans="1:19" customFormat="1" ht="1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7"/>
    </row>
    <row r="5" spans="1:19" ht="18.75" x14ac:dyDescent="0.3">
      <c r="A5" s="55" t="s">
        <v>19</v>
      </c>
      <c r="B5" s="55"/>
      <c r="C5" s="55"/>
      <c r="D5" s="55"/>
      <c r="E5" s="4"/>
      <c r="G5" s="55" t="s">
        <v>51</v>
      </c>
      <c r="H5" s="55"/>
      <c r="I5" s="55"/>
      <c r="J5" s="29">
        <f>MAX(Table3[Date])</f>
        <v>43366</v>
      </c>
      <c r="K5" s="56" t="s">
        <v>66</v>
      </c>
      <c r="L5" s="56"/>
      <c r="M5" s="4"/>
      <c r="N5" s="60"/>
      <c r="O5" s="55" t="s">
        <v>44</v>
      </c>
      <c r="P5" s="55"/>
      <c r="Q5" s="55"/>
      <c r="R5" s="55"/>
      <c r="S5" s="60"/>
    </row>
    <row r="6" spans="1:19" x14ac:dyDescent="0.25">
      <c r="E6" s="4"/>
      <c r="K6" s="46" t="str">
        <f>TEXT(J5, "dddd")</f>
        <v>Sunday</v>
      </c>
      <c r="L6" s="47" t="s">
        <v>64</v>
      </c>
      <c r="M6" s="4"/>
      <c r="N6" s="60"/>
      <c r="S6" s="60"/>
    </row>
    <row r="7" spans="1:19" x14ac:dyDescent="0.25">
      <c r="A7" s="54" t="s">
        <v>65</v>
      </c>
      <c r="B7" s="54"/>
      <c r="C7" s="54"/>
      <c r="D7" s="35">
        <f>AVERAGE(Table3[Cost])</f>
        <v>41.765939248601114</v>
      </c>
      <c r="E7" s="4"/>
      <c r="G7" s="54" t="s">
        <v>65</v>
      </c>
      <c r="H7" s="54"/>
      <c r="I7" s="54"/>
      <c r="J7" s="35">
        <f>AVERAGEIF(Table3[Date], MAX(Table3[Date]), Table3[Cost])</f>
        <v>40.1</v>
      </c>
      <c r="K7" s="8">
        <f>IF(WEEKDAY($J$5,1)=1,J7-'Weekday Statistics'!E9,IF(WEEKDAY('Personal Statistics'!$J$5,1)=2,J7-'Weekday Statistics'!K9,IF(WEEKDAY('Personal Statistics'!$J$5,1)=3,J7-'Weekday Statistics'!Q9,IF(WEEKDAY('Personal Statistics'!$J$5,1)=4,J7-'Weekday Statistics'!W9,IF(WEEKDAY('Personal Statistics'!$J$5,1)=5,J7-'Weekday Statistics'!E36,IF(WEEKDAY('Personal Statistics'!$J$5,1)=6,J7-'Weekday Statistics'!K36,IF(WEEKDAY('Personal Statistics'!$J$5,1)=7,J7-'Weekday Statistics'!Q36)))))))</f>
        <v>1.2914105793450688</v>
      </c>
      <c r="L7" s="8">
        <f>J7-D7</f>
        <v>-1.6659392486011129</v>
      </c>
      <c r="M7" s="9"/>
      <c r="N7" s="62"/>
      <c r="O7" s="57" t="s">
        <v>68</v>
      </c>
      <c r="P7" s="57"/>
      <c r="Q7" s="57"/>
      <c r="R7" s="3">
        <f>R9*R24</f>
        <v>930</v>
      </c>
      <c r="S7" s="60"/>
    </row>
    <row r="8" spans="1:19" x14ac:dyDescent="0.25">
      <c r="E8" s="4"/>
      <c r="K8" s="8"/>
      <c r="L8" s="8"/>
      <c r="M8" s="9"/>
      <c r="N8" s="62"/>
      <c r="O8" s="64"/>
      <c r="P8" s="60"/>
      <c r="Q8" s="60"/>
      <c r="S8" s="60"/>
    </row>
    <row r="9" spans="1:19" x14ac:dyDescent="0.25">
      <c r="A9" s="53" t="s">
        <v>13</v>
      </c>
      <c r="B9" s="53"/>
      <c r="C9" s="53"/>
      <c r="D9" s="5">
        <f>SUM(Table3[Tip])/SUM(Table3[Cost])</f>
        <v>0.17097853574380767</v>
      </c>
      <c r="E9" s="4"/>
      <c r="G9" s="53" t="s">
        <v>13</v>
      </c>
      <c r="H9" s="53"/>
      <c r="I9" s="53"/>
      <c r="J9" s="5">
        <f>SUMIF(Table3[Date],MAX(Table3[Date]),Table3[Tip])/SUMIF(Table3[Date],MAX(Table3[Date]),Table3[Cost])</f>
        <v>0.12157107231920199</v>
      </c>
      <c r="K9" s="5">
        <f>IF(WEEKDAY($J$5,1)=1,J9-'Weekday Statistics'!E11,IF(WEEKDAY('Personal Statistics'!$J$5,1)=2,J9-'Weekday Statistics'!K11,IF(WEEKDAY('Personal Statistics'!$J$5,1)=3,J9-'Weekday Statistics'!Q11,IF(WEEKDAY('Personal Statistics'!$J$5,1)=4,J9-'Weekday Statistics'!W11,IF(WEEKDAY('Personal Statistics'!$J$5,1)=5,J9-'Weekday Statistics'!E38,IF(WEEKDAY('Personal Statistics'!$J$5,1)=6,J9-'Weekday Statistics'!K38,IF(WEEKDAY('Personal Statistics'!$J$5,1)=7,J9-'Weekday Statistics'!Q38)))))))</f>
        <v>-4.7022314716958766E-2</v>
      </c>
      <c r="L9" s="5">
        <f>J9-D9</f>
        <v>-4.9407463424605683E-2</v>
      </c>
      <c r="M9" s="37"/>
      <c r="N9" s="59"/>
      <c r="O9" s="57" t="s">
        <v>63</v>
      </c>
      <c r="P9" s="57"/>
      <c r="Q9" s="57"/>
      <c r="R9" s="3">
        <f>COUNTIF(Table3[Match],"Different")</f>
        <v>186</v>
      </c>
      <c r="S9" s="60"/>
    </row>
    <row r="10" spans="1:19" x14ac:dyDescent="0.25">
      <c r="A10" s="7"/>
      <c r="B10" s="7"/>
      <c r="C10" s="7"/>
      <c r="E10" s="4"/>
      <c r="J10" s="8"/>
      <c r="K10" s="8"/>
      <c r="L10" s="8"/>
      <c r="M10" s="9"/>
      <c r="N10" s="62"/>
      <c r="O10" s="60"/>
      <c r="P10" s="60"/>
      <c r="Q10" s="60"/>
      <c r="S10" s="60"/>
    </row>
    <row r="11" spans="1:19" x14ac:dyDescent="0.25">
      <c r="A11" s="53" t="s">
        <v>14</v>
      </c>
      <c r="B11" s="53"/>
      <c r="C11" s="53"/>
      <c r="D11" s="8">
        <f>AVERAGE(Table3[Tip])</f>
        <v>7.1410791366906459</v>
      </c>
      <c r="E11" s="4"/>
      <c r="G11" s="53" t="s">
        <v>14</v>
      </c>
      <c r="H11" s="53"/>
      <c r="I11" s="53"/>
      <c r="J11" s="8">
        <f>AVERAGEIF(Table3[Date], MAX(Table3[Date]), Table3[Tip])</f>
        <v>4.875</v>
      </c>
      <c r="K11" s="8">
        <f>IF(WEEKDAY($J$5,1)=1,J11-'Weekday Statistics'!E13,IF(WEEKDAY('Personal Statistics'!$J$5,1)=2,J11-'Weekday Statistics'!K13,IF(WEEKDAY('Personal Statistics'!$J$5,1)=3,J11-'Weekday Statistics'!Q13,IF(WEEKDAY('Personal Statistics'!$J$5,1)=4,J11-'Weekday Statistics'!W13,IF(WEEKDAY('Personal Statistics'!$J$5,1)=5,J11-'Weekday Statistics'!E40,IF(WEEKDAY('Personal Statistics'!$J$5,1)=6,J11-'Weekday Statistics'!K40,IF(WEEKDAY('Personal Statistics'!$J$5,1)=7,J11-'Weekday Statistics'!Q40)))))))</f>
        <v>-1.6678715365239309</v>
      </c>
      <c r="L11" s="8">
        <f>J11-D11</f>
        <v>-2.2660791366906459</v>
      </c>
      <c r="M11" s="9"/>
      <c r="N11" s="62"/>
      <c r="O11" s="58" t="s">
        <v>48</v>
      </c>
      <c r="P11" s="58"/>
      <c r="Q11" s="58"/>
      <c r="R11" s="3">
        <f>COUNT(Table3[Order '#])</f>
        <v>1251</v>
      </c>
      <c r="S11" s="62"/>
    </row>
    <row r="12" spans="1:19" x14ac:dyDescent="0.25">
      <c r="E12" s="4"/>
      <c r="K12" s="8"/>
      <c r="L12" s="8"/>
      <c r="M12" s="9"/>
      <c r="N12" s="62"/>
      <c r="O12" s="60"/>
      <c r="P12" s="60"/>
      <c r="Q12" s="60"/>
      <c r="S12" s="60"/>
    </row>
    <row r="13" spans="1:19" x14ac:dyDescent="0.25">
      <c r="A13" s="53" t="s">
        <v>37</v>
      </c>
      <c r="B13" s="53"/>
      <c r="C13" s="53"/>
      <c r="D13" s="8">
        <f>(SUM(Table3[Tip])/SUM(IF(FREQUENCY(Table3[Date],Table3[Date])&gt;0,1)))</f>
        <v>48.029516129032245</v>
      </c>
      <c r="E13" s="4"/>
      <c r="G13" s="53" t="s">
        <v>45</v>
      </c>
      <c r="H13" s="53"/>
      <c r="I13" s="53"/>
      <c r="J13" s="8">
        <f>SUMIF(Table3[Date], MAX(Table3[Date]), Table3[Tip])</f>
        <v>39</v>
      </c>
      <c r="K13" s="8">
        <f>IF(WEEKDAY($J$5,1)=1,J13-'Weekday Statistics'!E15,IF(WEEKDAY('Personal Statistics'!$J$5,1)=2,J13-'Weekday Statistics'!K15,IF(WEEKDAY('Personal Statistics'!$J$5,1)=3,J13-'Weekday Statistics'!Q15,IF(WEEKDAY('Personal Statistics'!$J$5,1)=4,J13-'Weekday Statistics'!W15,IF(WEEKDAY('Personal Statistics'!$J$5,1)=5,J13-'Weekday Statistics'!E42,IF(WEEKDAY('Personal Statistics'!$J$5,1)=6,J13-'Weekday Statistics'!K42,IF(WEEKDAY('Personal Statistics'!$J$5,1)=7,J13-'Weekday Statistics'!Q42)))))))</f>
        <v>-9.1022222222222311</v>
      </c>
      <c r="L13" s="8">
        <f>J13-D13</f>
        <v>-9.0295161290322454</v>
      </c>
      <c r="M13" s="9"/>
      <c r="N13" s="62"/>
      <c r="O13" s="58" t="s">
        <v>50</v>
      </c>
      <c r="P13" s="58"/>
      <c r="Q13" s="58"/>
      <c r="R13" s="8">
        <f>SUM(Table3[Delivery Fee])</f>
        <v>2927.5</v>
      </c>
      <c r="S13" s="60"/>
    </row>
    <row r="14" spans="1:19" x14ac:dyDescent="0.25">
      <c r="E14" s="4"/>
      <c r="K14" s="8"/>
      <c r="L14" s="8"/>
      <c r="M14" s="9"/>
      <c r="N14" s="62"/>
      <c r="O14" s="60"/>
      <c r="P14" s="60"/>
      <c r="Q14" s="60"/>
      <c r="S14" s="60"/>
    </row>
    <row r="15" spans="1:19" x14ac:dyDescent="0.25">
      <c r="A15" s="53" t="s">
        <v>28</v>
      </c>
      <c r="B15" s="53"/>
      <c r="C15" s="53"/>
      <c r="D15" s="8">
        <f>D13/R24</f>
        <v>9.6059032258064487</v>
      </c>
      <c r="E15" s="4"/>
      <c r="G15" s="53" t="s">
        <v>28</v>
      </c>
      <c r="H15" s="53"/>
      <c r="I15" s="53"/>
      <c r="J15" s="8">
        <f>J13/R24</f>
        <v>7.8</v>
      </c>
      <c r="K15" s="8">
        <f>IF(WEEKDAY($J$5,1)=1,J15-'Weekday Statistics'!E17,IF(WEEKDAY('Personal Statistics'!$J$5,1)=2,J15-'Weekday Statistics'!K17,IF(WEEKDAY('Personal Statistics'!$J$5,1)=3,J15-'Weekday Statistics'!Q17,IF(WEEKDAY('Personal Statistics'!$J$5,1)=4,J15-'Weekday Statistics'!W17,IF(WEEKDAY('Personal Statistics'!$J$5,1)=5,J15-'Weekday Statistics'!E44,IF(WEEKDAY('Personal Statistics'!$J$5,1)=6,J15-'Weekday Statistics'!K44,IF(WEEKDAY('Personal Statistics'!$J$5,1)=7,J15-'Weekday Statistics'!Q44)))))))</f>
        <v>-1.8204444444444468</v>
      </c>
      <c r="L15" s="8">
        <f>J15-D15</f>
        <v>-1.8059032258064489</v>
      </c>
      <c r="M15" s="9"/>
      <c r="N15" s="62"/>
      <c r="O15" s="58" t="s">
        <v>9</v>
      </c>
      <c r="P15" s="58"/>
      <c r="Q15" s="58"/>
      <c r="R15" s="45">
        <f>SUM(Table3[Total Delivery Time (Minutes)])</f>
        <v>50587</v>
      </c>
      <c r="S15" s="60"/>
    </row>
    <row r="16" spans="1:19" x14ac:dyDescent="0.25">
      <c r="E16" s="4"/>
      <c r="K16" s="8"/>
      <c r="L16" s="8"/>
      <c r="M16" s="9"/>
      <c r="N16" s="62"/>
      <c r="O16" s="60"/>
      <c r="P16" s="60"/>
      <c r="Q16" s="60"/>
      <c r="S16" s="60"/>
    </row>
    <row r="17" spans="1:19" x14ac:dyDescent="0.25">
      <c r="A17" s="53" t="s">
        <v>29</v>
      </c>
      <c r="B17" s="53"/>
      <c r="C17" s="53"/>
      <c r="D17" s="6">
        <f>COUNT(Table3[Order '#])/SUM(IF(FREQUENCY(Table3[Date],Table3[Date])&gt;0,1))</f>
        <v>6.725806451612903</v>
      </c>
      <c r="E17" s="4"/>
      <c r="G17" s="53" t="s">
        <v>46</v>
      </c>
      <c r="H17" s="53"/>
      <c r="I17" s="53"/>
      <c r="J17" s="30">
        <f>COUNTIF(Table3[Date],MAX(Table3[Date]))</f>
        <v>8</v>
      </c>
      <c r="K17" s="6">
        <f>IF(WEEKDAY($J$5,1)=1,J17-'Weekday Statistics'!E19,IF(WEEKDAY('Personal Statistics'!$J$5,1)=2,J17-'Weekday Statistics'!K19,IF(WEEKDAY('Personal Statistics'!$J$5,1)=3,J17-'Weekday Statistics'!Q19,IF(WEEKDAY('Personal Statistics'!$J$5,1)=4,J17-'Weekday Statistics'!W19,IF(WEEKDAY('Personal Statistics'!$J$5,1)=5,J17-'Weekday Statistics'!E46,IF(WEEKDAY('Personal Statistics'!$J$5,1)=6,J17-'Weekday Statistics'!K46,IF(WEEKDAY('Personal Statistics'!$J$5,1)=7,J17-'Weekday Statistics'!Q46)))))))</f>
        <v>0.64814814814814792</v>
      </c>
      <c r="L17" s="6">
        <f>J17-D17</f>
        <v>1.274193548387097</v>
      </c>
      <c r="M17" s="38"/>
      <c r="N17" s="63"/>
      <c r="O17" s="58" t="s">
        <v>17</v>
      </c>
      <c r="P17" s="58"/>
      <c r="Q17" s="58"/>
      <c r="R17" s="8">
        <f>SUM(Table3[Tip])</f>
        <v>8933.489999999998</v>
      </c>
      <c r="S17" s="60"/>
    </row>
    <row r="18" spans="1:19" x14ac:dyDescent="0.25">
      <c r="A18" s="7"/>
      <c r="B18" s="7"/>
      <c r="C18" s="7"/>
      <c r="D18" s="6"/>
      <c r="E18" s="4"/>
      <c r="K18" s="8"/>
      <c r="L18" s="8"/>
      <c r="M18" s="9"/>
      <c r="N18" s="62"/>
      <c r="O18" s="60"/>
      <c r="P18" s="60"/>
      <c r="Q18" s="60"/>
      <c r="S18" s="60"/>
    </row>
    <row r="19" spans="1:19" x14ac:dyDescent="0.25">
      <c r="A19" s="53" t="s">
        <v>31</v>
      </c>
      <c r="B19" s="53"/>
      <c r="C19" s="53"/>
      <c r="D19" s="8">
        <f>AVERAGE(Table3[Delivery Fee])</f>
        <v>2.3401278976818545</v>
      </c>
      <c r="E19" s="4"/>
      <c r="G19" s="54" t="s">
        <v>31</v>
      </c>
      <c r="H19" s="54"/>
      <c r="I19" s="54"/>
      <c r="J19" s="8">
        <f>AVERAGEIF(Table3[Date], MAX(Table3[Date]), Table3[Delivery Fee])</f>
        <v>2.375</v>
      </c>
      <c r="K19" s="8">
        <f>IF(WEEKDAY($J$5,1)=1,J19-'Weekday Statistics'!E21,IF(WEEKDAY('Personal Statistics'!$J$5,1)=2,J19-'Weekday Statistics'!K21,IF(WEEKDAY('Personal Statistics'!$J$5,1)=3,J19-'Weekday Statistics'!Q21,IF(WEEKDAY('Personal Statistics'!$J$5,1)=4,J19-'Weekday Statistics'!W21,IF(WEEKDAY('Personal Statistics'!$J$5,1)=5,J19-'Weekday Statistics'!E48,IF(WEEKDAY('Personal Statistics'!$J$5,1)=6,J19-'Weekday Statistics'!K48,IF(WEEKDAY('Personal Statistics'!$J$5,1)=7,J19-'Weekday Statistics'!Q48)))))))</f>
        <v>0.11177581863979835</v>
      </c>
      <c r="L19" s="8">
        <f>J19-D19</f>
        <v>3.4872102318145526E-2</v>
      </c>
      <c r="M19" s="9"/>
      <c r="N19" s="62"/>
      <c r="O19" s="58" t="s">
        <v>35</v>
      </c>
      <c r="P19" s="58"/>
      <c r="Q19" s="58"/>
      <c r="R19" s="8">
        <f>D25*SUM(IF(FREQUENCY(Table3[Date],Table3[Date])&gt;0,1))</f>
        <v>19300.989999999998</v>
      </c>
      <c r="S19" s="60"/>
    </row>
    <row r="20" spans="1:19" x14ac:dyDescent="0.25">
      <c r="E20" s="4"/>
      <c r="K20" s="8"/>
      <c r="L20" s="8"/>
      <c r="M20" s="9"/>
      <c r="N20" s="62"/>
      <c r="O20" s="60"/>
      <c r="P20" s="60"/>
      <c r="Q20" s="60"/>
      <c r="S20" s="60"/>
    </row>
    <row r="21" spans="1:19" x14ac:dyDescent="0.25">
      <c r="A21" s="54" t="s">
        <v>67</v>
      </c>
      <c r="B21" s="54"/>
      <c r="C21" s="54"/>
      <c r="D21" s="8">
        <f>SUM(Table3[Delivery Fee])/COUNTIF(Table3[Match],"Different")</f>
        <v>15.739247311827956</v>
      </c>
      <c r="E21" s="4"/>
      <c r="G21" s="54" t="s">
        <v>50</v>
      </c>
      <c r="H21" s="54"/>
      <c r="I21" s="54"/>
      <c r="J21" s="8">
        <f>SUMIF(Table3[Date], MAX(Table3[Date]), Table3[Delivery Fee])</f>
        <v>19</v>
      </c>
      <c r="K21" s="8">
        <f>IF(WEEKDAY($J$5,1)=1,J21-'Weekday Statistics'!E23,IF(WEEKDAY('Personal Statistics'!$J$5,1)=2,J21-'Weekday Statistics'!K23,IF(WEEKDAY('Personal Statistics'!$J$5,1)=3,J21-'Weekday Statistics'!Q23,IF(WEEKDAY('Personal Statistics'!$J$5,1)=4,J21-'Weekday Statistics'!W23,IF(WEEKDAY('Personal Statistics'!$J$5,1)=5,J21-'Weekday Statistics'!E50,IF(WEEKDAY('Personal Statistics'!$J$5,1)=6,J21-'Weekday Statistics'!K50,IF(WEEKDAY('Personal Statistics'!$J$5,1)=7,J21-'Weekday Statistics'!Q50)))))))</f>
        <v>2.3611111111111107</v>
      </c>
      <c r="L21" s="8">
        <f>J21-D21</f>
        <v>3.2607526881720439</v>
      </c>
      <c r="M21" s="9"/>
      <c r="N21" s="69"/>
      <c r="O21" s="68"/>
      <c r="P21" s="68"/>
      <c r="Q21" s="68"/>
      <c r="R21" s="68"/>
      <c r="S21" s="60"/>
    </row>
    <row r="22" spans="1:19" ht="18.75" x14ac:dyDescent="0.3">
      <c r="E22" s="4"/>
      <c r="K22" s="8"/>
      <c r="L22" s="8"/>
      <c r="M22" s="9"/>
      <c r="N22" s="62"/>
      <c r="O22" s="55" t="s">
        <v>49</v>
      </c>
      <c r="P22" s="55"/>
      <c r="Q22" s="55"/>
      <c r="R22" s="55"/>
      <c r="S22" s="60"/>
    </row>
    <row r="23" spans="1:19" x14ac:dyDescent="0.25">
      <c r="A23" s="53" t="s">
        <v>52</v>
      </c>
      <c r="B23" s="53"/>
      <c r="C23" s="53"/>
      <c r="D23" s="8">
        <f>D19*D17/R24+D15+R26</f>
        <v>20.753752688172039</v>
      </c>
      <c r="E23" s="4"/>
      <c r="G23" s="53" t="s">
        <v>52</v>
      </c>
      <c r="H23" s="53"/>
      <c r="I23" s="53"/>
      <c r="J23" s="8">
        <f>J19*J17/R24+J15+R26</f>
        <v>19.600000000000001</v>
      </c>
      <c r="K23" s="8">
        <f>IF(WEEKDAY($J$5,1)=1,J23-'Weekday Statistics'!E25,IF(WEEKDAY('Personal Statistics'!$J$5,1)=2,J23-'Weekday Statistics'!K25,IF(WEEKDAY('Personal Statistics'!$J$5,1)=3,J23-'Weekday Statistics'!Q25,IF(WEEKDAY('Personal Statistics'!$J$5,1)=4,J23-'Weekday Statistics'!W25,IF(WEEKDAY('Personal Statistics'!$J$5,1)=5,J23-'Weekday Statistics'!E52,IF(WEEKDAY('Personal Statistics'!$J$5,1)=6,J23-'Weekday Statistics'!K52,IF(WEEKDAY('Personal Statistics'!$J$5,1)=7,J23-'Weekday Statistics'!Q52)))))))</f>
        <v>-1.3482222222222227</v>
      </c>
      <c r="L23" s="8">
        <f>J23-D23</f>
        <v>-1.1537526881720375</v>
      </c>
      <c r="M23" s="9"/>
      <c r="N23" s="62"/>
      <c r="S23" s="60"/>
    </row>
    <row r="24" spans="1:19" x14ac:dyDescent="0.25">
      <c r="E24" s="4"/>
      <c r="K24" s="8"/>
      <c r="L24" s="8"/>
      <c r="M24" s="9"/>
      <c r="N24" s="62"/>
      <c r="O24" s="53" t="s">
        <v>33</v>
      </c>
      <c r="P24" s="53"/>
      <c r="Q24" s="53"/>
      <c r="R24" s="6">
        <v>5</v>
      </c>
      <c r="S24" s="60"/>
    </row>
    <row r="25" spans="1:19" x14ac:dyDescent="0.25">
      <c r="A25" s="53" t="s">
        <v>34</v>
      </c>
      <c r="B25" s="53"/>
      <c r="C25" s="53"/>
      <c r="D25" s="8">
        <f>D19*D17+(D15+R26)*R24</f>
        <v>103.76876344086021</v>
      </c>
      <c r="E25" s="4"/>
      <c r="G25" s="53" t="s">
        <v>47</v>
      </c>
      <c r="H25" s="53"/>
      <c r="I25" s="53"/>
      <c r="J25" s="8">
        <f>J19*J17+(J15+R26)*R24</f>
        <v>98</v>
      </c>
      <c r="K25" s="8">
        <f>IF(WEEKDAY($J$5,1)=1,J25-'Weekday Statistics'!E27,IF(WEEKDAY('Personal Statistics'!$J$5,1)=2,J25-'Weekday Statistics'!K27,IF(WEEKDAY('Personal Statistics'!$J$5,1)=3,J25-'Weekday Statistics'!Q27,IF(WEEKDAY('Personal Statistics'!$J$5,1)=4,J25-'Weekday Statistics'!W27,IF(WEEKDAY('Personal Statistics'!$J$5,1)=5,J25-'Weekday Statistics'!E54,IF(WEEKDAY('Personal Statistics'!$J$5,1)=6,J25-'Weekday Statistics'!K54,IF(WEEKDAY('Personal Statistics'!$J$5,1)=7,J25-'Weekday Statistics'!Q54)))))))</f>
        <v>-6.7411111111111097</v>
      </c>
      <c r="L25" s="8">
        <f>J25-D25</f>
        <v>-5.7687634408602122</v>
      </c>
      <c r="M25" s="9"/>
      <c r="N25" s="62"/>
      <c r="S25" s="60"/>
    </row>
    <row r="26" spans="1:19" x14ac:dyDescent="0.25">
      <c r="E26" s="4"/>
      <c r="M26" s="4"/>
      <c r="N26" s="60"/>
      <c r="O26" s="53" t="s">
        <v>32</v>
      </c>
      <c r="P26" s="53"/>
      <c r="Q26" s="53"/>
      <c r="R26" s="8">
        <v>8</v>
      </c>
      <c r="S26" s="60"/>
    </row>
    <row r="27" spans="1:19" x14ac:dyDescent="0.25">
      <c r="A27" s="54" t="s">
        <v>15</v>
      </c>
      <c r="B27" s="53"/>
      <c r="C27" s="53"/>
      <c r="D27" s="45">
        <f xml:space="preserve"> AVERAGEIF(Table3[Total Delivery Time (Minutes)], "&lt;&gt;0",Table3[Total Delivery Time (Minutes)])</f>
        <v>41.566967953985213</v>
      </c>
      <c r="E27" s="4"/>
      <c r="G27" s="53" t="s">
        <v>15</v>
      </c>
      <c r="H27" s="53"/>
      <c r="I27" s="53"/>
      <c r="J27" s="45">
        <f>AVERAGEIFS(Table3[Total Delivery Time (Minutes)], Table3[Date], MAX(Table3[Date]),Table3[Total Delivery Time (Minutes)], "&lt;&gt;0")</f>
        <v>47.25</v>
      </c>
      <c r="K27" s="45">
        <f>IF(WEEKDAY($J$5,1)=1,J27-'Weekday Statistics'!E29,IF(WEEKDAY('Personal Statistics'!$J$5,1)=2,J27-'Weekday Statistics'!K29,IF(WEEKDAY('Personal Statistics'!$J$5,1)=3,J27-'Weekday Statistics'!Q29,IF(WEEKDAY('Personal Statistics'!$J$5,1)=4,J27-'Weekday Statistics'!W29,IF(WEEKDAY('Personal Statistics'!$J$5,1)=5,J27-'Weekday Statistics'!E56,IF(WEEKDAY('Personal Statistics'!$J$5,1)=6,J27-'Weekday Statistics'!K56,IF(WEEKDAY('Personal Statistics'!$J$5,1)=7,J27-'Weekday Statistics'!Q56)))))))</f>
        <v>6.3214285714285694</v>
      </c>
      <c r="L27" s="45">
        <f>J27-D27</f>
        <v>5.6830320460147874</v>
      </c>
      <c r="M27" s="4"/>
      <c r="N27" s="60"/>
      <c r="S27" s="60"/>
    </row>
    <row r="28" spans="1:19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1"/>
      <c r="K28" s="60"/>
      <c r="L28" s="60"/>
      <c r="M28" s="60"/>
      <c r="N28" s="60"/>
      <c r="O28" s="65"/>
      <c r="P28" s="65"/>
      <c r="Q28" s="65"/>
      <c r="R28" s="65"/>
      <c r="S28" s="60"/>
    </row>
    <row r="29" spans="1:19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5"/>
      <c r="P29" s="65"/>
      <c r="Q29" s="65"/>
      <c r="R29" s="65"/>
      <c r="S29" s="60"/>
    </row>
    <row r="30" spans="1:19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5"/>
      <c r="P30" s="65"/>
      <c r="Q30" s="65"/>
      <c r="R30" s="65"/>
      <c r="S30" s="60"/>
    </row>
    <row r="31" spans="1:19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0"/>
    </row>
    <row r="32" spans="1:19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0"/>
    </row>
    <row r="33" spans="1:19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0"/>
    </row>
    <row r="34" spans="1:19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0"/>
    </row>
    <row r="35" spans="1:19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P35" s="66"/>
      <c r="Q35" s="66"/>
      <c r="R35" s="66"/>
      <c r="S35" s="60"/>
    </row>
    <row r="36" spans="1:19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  <c r="P36" s="66"/>
      <c r="Q36" s="66"/>
      <c r="R36" s="66"/>
      <c r="S36" s="60"/>
    </row>
    <row r="37" spans="1:19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66"/>
      <c r="Q37" s="66"/>
      <c r="R37" s="66"/>
      <c r="S37" s="60"/>
    </row>
    <row r="38" spans="1:19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66"/>
      <c r="Q38" s="66"/>
      <c r="R38" s="66"/>
      <c r="S38" s="60"/>
    </row>
    <row r="39" spans="1:19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  <c r="P39" s="66"/>
      <c r="Q39" s="66"/>
      <c r="R39" s="66"/>
      <c r="S39" s="60"/>
    </row>
    <row r="40" spans="1:19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6"/>
      <c r="P40" s="66"/>
      <c r="Q40" s="66"/>
      <c r="R40" s="66"/>
      <c r="S40" s="60"/>
    </row>
    <row r="41" spans="1:19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  <c r="P41" s="66"/>
      <c r="Q41" s="66"/>
      <c r="R41" s="66"/>
      <c r="S41" s="60"/>
    </row>
    <row r="42" spans="1:19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6"/>
      <c r="P42" s="66"/>
      <c r="Q42" s="66"/>
      <c r="R42" s="66"/>
      <c r="S42" s="60"/>
    </row>
    <row r="43" spans="1:19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P43" s="66"/>
      <c r="Q43" s="66"/>
      <c r="R43" s="66"/>
      <c r="S43" s="60"/>
    </row>
    <row r="44" spans="1:19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P44" s="66"/>
      <c r="Q44" s="66"/>
      <c r="R44" s="66"/>
      <c r="S44" s="60"/>
    </row>
    <row r="45" spans="1:19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P45" s="66"/>
      <c r="Q45" s="66"/>
      <c r="R45" s="66"/>
      <c r="S45" s="60"/>
    </row>
    <row r="46" spans="1:19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P46" s="66"/>
      <c r="Q46" s="66"/>
      <c r="R46" s="66"/>
      <c r="S46" s="60"/>
    </row>
    <row r="47" spans="1:19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P47" s="66"/>
      <c r="Q47" s="66"/>
      <c r="R47" s="66"/>
    </row>
    <row r="48" spans="1:19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P48" s="66"/>
      <c r="Q48" s="66"/>
      <c r="R48" s="66"/>
    </row>
    <row r="49" spans="1:18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P49" s="66"/>
      <c r="Q49" s="66"/>
      <c r="R49" s="66"/>
    </row>
    <row r="50" spans="1:18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8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1:18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1:18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8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8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</sheetData>
  <mergeCells count="37">
    <mergeCell ref="A1:R3"/>
    <mergeCell ref="A21:C21"/>
    <mergeCell ref="G21:I21"/>
    <mergeCell ref="O19:Q19"/>
    <mergeCell ref="O17:Q17"/>
    <mergeCell ref="A27:C27"/>
    <mergeCell ref="G27:I27"/>
    <mergeCell ref="G11:I11"/>
    <mergeCell ref="A13:C13"/>
    <mergeCell ref="A15:C15"/>
    <mergeCell ref="O15:Q15"/>
    <mergeCell ref="O7:Q7"/>
    <mergeCell ref="O9:Q9"/>
    <mergeCell ref="O11:Q11"/>
    <mergeCell ref="O13:Q13"/>
    <mergeCell ref="K5:L5"/>
    <mergeCell ref="A19:C19"/>
    <mergeCell ref="A23:C23"/>
    <mergeCell ref="A25:C25"/>
    <mergeCell ref="A17:C17"/>
    <mergeCell ref="G19:I19"/>
    <mergeCell ref="G23:I23"/>
    <mergeCell ref="G25:I25"/>
    <mergeCell ref="G17:I17"/>
    <mergeCell ref="O24:Q24"/>
    <mergeCell ref="O26:Q26"/>
    <mergeCell ref="A9:C9"/>
    <mergeCell ref="A11:C11"/>
    <mergeCell ref="A7:C7"/>
    <mergeCell ref="G7:I7"/>
    <mergeCell ref="G9:I9"/>
    <mergeCell ref="G13:I13"/>
    <mergeCell ref="G15:I15"/>
    <mergeCell ref="A5:D5"/>
    <mergeCell ref="O5:R5"/>
    <mergeCell ref="G5:I5"/>
    <mergeCell ref="O22:R22"/>
  </mergeCells>
  <conditionalFormatting sqref="K7:L7 K9:L9 K11:L11 K13:L13 K15:L15 K17:L17 K19:L19 K23:L23 K25:L25"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K7:L7 K9:L9 K11:L11 K13:L13 K15:L15 K17:L17 K19:L19 K23:L23 K25:L25">
    <cfRule type="cellIs" dxfId="10" priority="10" operator="equal">
      <formula>0</formula>
    </cfRule>
  </conditionalFormatting>
  <conditionalFormatting sqref="K21:L21">
    <cfRule type="cellIs" dxfId="9" priority="1" operator="equal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lessThan">
      <formula>9.08</formula>
    </cfRule>
    <cfRule type="cellIs" dxfId="5" priority="5" operator="greaterThan">
      <formula>0</formula>
    </cfRule>
  </conditionalFormatting>
  <conditionalFormatting sqref="K27:L27">
    <cfRule type="cellIs" dxfId="4" priority="6" operator="equal">
      <formula>0</formula>
    </cfRule>
    <cfRule type="cellIs" dxfId="3" priority="7" operator="lessThan">
      <formula>0</formula>
    </cfRule>
    <cfRule type="cellIs" dxfId="2" priority="8" operator="greaterThan">
      <formula>0</formula>
    </cfRule>
  </conditionalFormatting>
  <printOptions horizontalCentered="1"/>
  <pageMargins left="0.7" right="0.7" top="0.75" bottom="0.75" header="0.3" footer="0.3"/>
  <pageSetup scale="71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W56"/>
  <sheetViews>
    <sheetView tabSelected="1" zoomScale="85" zoomScaleNormal="85" workbookViewId="0">
      <selection activeCell="A60" sqref="A60:XFD63"/>
    </sheetView>
  </sheetViews>
  <sheetFormatPr defaultRowHeight="15" x14ac:dyDescent="0.25"/>
  <sheetData>
    <row r="1" spans="2:23" x14ac:dyDescent="0.25">
      <c r="B1" s="50" t="s">
        <v>78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2:23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2:23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5" spans="2:23" ht="18.75" x14ac:dyDescent="0.3">
      <c r="B5" s="55" t="s">
        <v>53</v>
      </c>
      <c r="C5" s="55"/>
      <c r="D5" s="55"/>
      <c r="E5" s="55"/>
      <c r="G5" s="31"/>
      <c r="H5" s="55" t="s">
        <v>54</v>
      </c>
      <c r="I5" s="55"/>
      <c r="J5" s="55"/>
      <c r="K5" s="55"/>
      <c r="M5" s="31"/>
      <c r="N5" s="55" t="s">
        <v>55</v>
      </c>
      <c r="O5" s="55"/>
      <c r="P5" s="55"/>
      <c r="Q5" s="55"/>
      <c r="S5" s="31"/>
      <c r="T5" s="55" t="s">
        <v>56</v>
      </c>
      <c r="U5" s="55"/>
      <c r="V5" s="55"/>
      <c r="W5" s="55"/>
    </row>
    <row r="6" spans="2:23" x14ac:dyDescent="0.25">
      <c r="G6" s="31"/>
      <c r="M6" s="31"/>
      <c r="S6" s="31"/>
    </row>
    <row r="7" spans="2:23" x14ac:dyDescent="0.25">
      <c r="B7" s="54" t="s">
        <v>62</v>
      </c>
      <c r="C7" s="54"/>
      <c r="D7" s="54"/>
      <c r="E7">
        <f>COUNTIFS(Table3[Weekday], "Sunday", Table3[Match], "Different")</f>
        <v>54</v>
      </c>
      <c r="G7" s="31"/>
      <c r="H7" s="54" t="s">
        <v>62</v>
      </c>
      <c r="I7" s="54"/>
      <c r="J7" s="54"/>
      <c r="K7">
        <f>COUNTIFS(Table3[Weekday], "Monday", Table3[Match], "Different")</f>
        <v>13</v>
      </c>
      <c r="M7" s="31"/>
      <c r="N7" s="54" t="s">
        <v>62</v>
      </c>
      <c r="O7" s="54"/>
      <c r="P7" s="54"/>
      <c r="Q7">
        <f>COUNTIFS(Table3[Weekday], "Tuesday", Table3[Match], "Different")</f>
        <v>3</v>
      </c>
      <c r="S7" s="31"/>
      <c r="T7" s="54" t="s">
        <v>62</v>
      </c>
      <c r="U7" s="54"/>
      <c r="V7" s="54"/>
      <c r="W7">
        <f>COUNTIFS(Table3[Weekday], "Wednesday", Table3[Match], "Different")</f>
        <v>8</v>
      </c>
    </row>
    <row r="8" spans="2:23" x14ac:dyDescent="0.25">
      <c r="B8" s="34"/>
      <c r="C8" s="34"/>
      <c r="D8" s="34"/>
      <c r="G8" s="31"/>
      <c r="H8" s="34"/>
      <c r="I8" s="34"/>
      <c r="J8" s="34"/>
      <c r="M8" s="31"/>
      <c r="N8" s="34"/>
      <c r="O8" s="34"/>
      <c r="P8" s="34"/>
      <c r="S8" s="31"/>
      <c r="T8" s="34"/>
      <c r="U8" s="34"/>
      <c r="V8" s="34"/>
    </row>
    <row r="9" spans="2:23" x14ac:dyDescent="0.25">
      <c r="B9" s="54" t="s">
        <v>65</v>
      </c>
      <c r="C9" s="54"/>
      <c r="D9" s="54"/>
      <c r="E9" s="35">
        <f>AVERAGEIF(Table3[Weekday], "Sunday", Table3[Cost])</f>
        <v>38.808589420654933</v>
      </c>
      <c r="G9" s="31"/>
      <c r="H9" s="54" t="s">
        <v>65</v>
      </c>
      <c r="I9" s="54"/>
      <c r="J9" s="54"/>
      <c r="K9" s="35">
        <f>AVERAGEIF(Table3[Weekday], "Monday", Table3[Cost])</f>
        <v>41.235647058823531</v>
      </c>
      <c r="M9" s="31"/>
      <c r="N9" s="54" t="s">
        <v>65</v>
      </c>
      <c r="O9" s="54"/>
      <c r="P9" s="54"/>
      <c r="Q9" s="35">
        <f>AVERAGEIF(Table3[Weekday], "Tuesday", Table3[Cost])</f>
        <v>39.737058823529402</v>
      </c>
      <c r="S9" s="31"/>
      <c r="T9" s="54" t="s">
        <v>65</v>
      </c>
      <c r="U9" s="54"/>
      <c r="V9" s="54"/>
      <c r="W9" s="35">
        <f>AVERAGEIF(Table3[Weekday], "Wednesday", Table3[Cost])</f>
        <v>51.631777777777771</v>
      </c>
    </row>
    <row r="10" spans="2:23" x14ac:dyDescent="0.25">
      <c r="G10" s="31"/>
      <c r="M10" s="31"/>
      <c r="S10" s="31"/>
    </row>
    <row r="11" spans="2:23" x14ac:dyDescent="0.25">
      <c r="B11" s="53" t="s">
        <v>13</v>
      </c>
      <c r="C11" s="53"/>
      <c r="D11" s="53"/>
      <c r="E11" s="5">
        <f>SUMIF(Table3[Weekday], "Sunday", Table3[Tip])/SUMIF(Table3[Weekday], "Sunday", Table3[Cost])</f>
        <v>0.16859338703616075</v>
      </c>
      <c r="G11" s="31"/>
      <c r="H11" s="53" t="s">
        <v>13</v>
      </c>
      <c r="I11" s="53"/>
      <c r="J11" s="53"/>
      <c r="K11" s="5">
        <f>SUMIF(Table3[Weekday], "Monday", Table3[Tip])/SUMIF(Table3[Weekday], "Monday", Table3[Cost])</f>
        <v>0.18996128421154737</v>
      </c>
      <c r="M11" s="31"/>
      <c r="N11" s="53" t="s">
        <v>13</v>
      </c>
      <c r="O11" s="53"/>
      <c r="P11" s="53"/>
      <c r="Q11" s="5">
        <f>SUMIF(Table3[Weekday], "Tuesday", Table3[Tip])/SUMIF(Table3[Weekday], "Tuesday", Table3[Cost])</f>
        <v>0.18868147972702917</v>
      </c>
      <c r="S11" s="31"/>
      <c r="T11" s="53" t="s">
        <v>13</v>
      </c>
      <c r="U11" s="53"/>
      <c r="V11" s="53"/>
      <c r="W11" s="5">
        <f>SUMIF(Table3[Weekday], "Wednesday", Table3[Tip])/SUMIF(Table3[Weekday], "Wednesday", Table3[Cost])</f>
        <v>0.15625174849253043</v>
      </c>
    </row>
    <row r="12" spans="2:23" x14ac:dyDescent="0.25">
      <c r="B12" s="7"/>
      <c r="C12" s="7"/>
      <c r="D12" s="7"/>
      <c r="E12" s="3"/>
      <c r="G12" s="31"/>
      <c r="H12" s="7"/>
      <c r="I12" s="7"/>
      <c r="J12" s="7"/>
      <c r="K12" s="3"/>
      <c r="M12" s="31"/>
      <c r="N12" s="7"/>
      <c r="O12" s="7"/>
      <c r="P12" s="7"/>
      <c r="Q12" s="3"/>
      <c r="S12" s="31"/>
      <c r="T12" s="7"/>
      <c r="U12" s="7"/>
      <c r="V12" s="7"/>
      <c r="W12" s="3"/>
    </row>
    <row r="13" spans="2:23" x14ac:dyDescent="0.25">
      <c r="B13" s="53" t="s">
        <v>14</v>
      </c>
      <c r="C13" s="53"/>
      <c r="D13" s="53"/>
      <c r="E13" s="8">
        <f>AVERAGEIF(Table3[Weekday], "Sunday", Table3[Tip])</f>
        <v>6.5428715365239309</v>
      </c>
      <c r="G13" s="31"/>
      <c r="H13" s="53" t="s">
        <v>14</v>
      </c>
      <c r="I13" s="53"/>
      <c r="J13" s="53"/>
      <c r="K13" s="8">
        <f>AVERAGEIF(Table3[Weekday], "Monday", Table3[Tip])</f>
        <v>7.833176470588235</v>
      </c>
      <c r="M13" s="31"/>
      <c r="N13" s="53" t="s">
        <v>14</v>
      </c>
      <c r="O13" s="53"/>
      <c r="P13" s="53"/>
      <c r="Q13" s="8">
        <f>AVERAGEIF(Table3[Weekday], "Tuesday", Table3[Tip])</f>
        <v>7.4976470588235289</v>
      </c>
      <c r="S13" s="31"/>
      <c r="T13" s="53" t="s">
        <v>14</v>
      </c>
      <c r="U13" s="53"/>
      <c r="V13" s="53"/>
      <c r="W13" s="8">
        <f>AVERAGEIF(Table3[Weekday], "Wednesday", Table3[Tip])</f>
        <v>8.067555555555554</v>
      </c>
    </row>
    <row r="14" spans="2:23" x14ac:dyDescent="0.25">
      <c r="B14" s="3"/>
      <c r="C14" s="3"/>
      <c r="D14" s="3"/>
      <c r="E14" s="3"/>
      <c r="G14" s="31"/>
      <c r="H14" s="3"/>
      <c r="I14" s="3"/>
      <c r="J14" s="3"/>
      <c r="K14" s="3"/>
      <c r="M14" s="31"/>
      <c r="N14" s="3"/>
      <c r="O14" s="3"/>
      <c r="P14" s="3"/>
      <c r="Q14" s="3"/>
      <c r="S14" s="31"/>
      <c r="T14" s="3"/>
      <c r="U14" s="3"/>
      <c r="V14" s="3"/>
      <c r="W14" s="3"/>
    </row>
    <row r="15" spans="2:23" x14ac:dyDescent="0.25">
      <c r="B15" s="53" t="s">
        <v>37</v>
      </c>
      <c r="C15" s="53"/>
      <c r="D15" s="53"/>
      <c r="E15" s="8">
        <f>(SUMIF(Table3[Weekday], "Sunday", Table3[Tip])/COUNTIFS(Table3[Weekday], "Sunday", Table3[Match], "Different"))</f>
        <v>48.102222222222231</v>
      </c>
      <c r="G15" s="31"/>
      <c r="H15" s="53" t="s">
        <v>37</v>
      </c>
      <c r="I15" s="53"/>
      <c r="J15" s="53"/>
      <c r="K15" s="8">
        <f>(SUMIF(Table3[Weekday], "Monday", Table3[Tip])/COUNTIFS(Table3[Weekday], "Monday", Table3[Match], "Different"))</f>
        <v>51.216923076923074</v>
      </c>
      <c r="M15" s="31"/>
      <c r="N15" s="53" t="s">
        <v>37</v>
      </c>
      <c r="O15" s="53"/>
      <c r="P15" s="53"/>
      <c r="Q15" s="8">
        <f>(SUMIF(Table3[Weekday], "Tuesday", Table3[Tip])/COUNTIFS(Table3[Weekday], "Tuesday", Table3[Match], "Different"))</f>
        <v>42.486666666666665</v>
      </c>
      <c r="S15" s="31"/>
      <c r="T15" s="53" t="s">
        <v>37</v>
      </c>
      <c r="U15" s="53"/>
      <c r="V15" s="53"/>
      <c r="W15" s="8">
        <f>(SUMIF(Table3[Weekday], "Wednesday", Table3[Tip])/COUNTIFS(Table3[Weekday], "Wednesday", Table3[Match], "Different"))</f>
        <v>45.379999999999995</v>
      </c>
    </row>
    <row r="16" spans="2:23" x14ac:dyDescent="0.25">
      <c r="B16" s="3"/>
      <c r="C16" s="3"/>
      <c r="D16" s="3"/>
      <c r="E16" s="3"/>
      <c r="G16" s="31"/>
      <c r="H16" s="3"/>
      <c r="I16" s="3"/>
      <c r="J16" s="3"/>
      <c r="K16" s="3"/>
      <c r="M16" s="31"/>
      <c r="N16" s="3"/>
      <c r="O16" s="3"/>
      <c r="P16" s="3"/>
      <c r="Q16" s="3"/>
      <c r="S16" s="31"/>
      <c r="T16" s="3"/>
      <c r="U16" s="3"/>
      <c r="V16" s="3"/>
      <c r="W16" s="3"/>
    </row>
    <row r="17" spans="2:23" x14ac:dyDescent="0.25">
      <c r="B17" s="53" t="s">
        <v>28</v>
      </c>
      <c r="C17" s="53"/>
      <c r="D17" s="53"/>
      <c r="E17" s="8">
        <f>E15/'Personal Statistics'!$R$24</f>
        <v>9.6204444444444466</v>
      </c>
      <c r="G17" s="31"/>
      <c r="H17" s="53" t="s">
        <v>28</v>
      </c>
      <c r="I17" s="53"/>
      <c r="J17" s="53"/>
      <c r="K17" s="8">
        <f>K15/'Personal Statistics'!$R$24</f>
        <v>10.243384615384615</v>
      </c>
      <c r="M17" s="31"/>
      <c r="N17" s="53" t="s">
        <v>28</v>
      </c>
      <c r="O17" s="53"/>
      <c r="P17" s="53"/>
      <c r="Q17" s="8">
        <f>Q15/'Personal Statistics'!$R$24</f>
        <v>8.4973333333333336</v>
      </c>
      <c r="S17" s="31"/>
      <c r="T17" s="53" t="s">
        <v>28</v>
      </c>
      <c r="U17" s="53"/>
      <c r="V17" s="53"/>
      <c r="W17" s="8">
        <f>W15/'Personal Statistics'!$R$24</f>
        <v>9.0759999999999987</v>
      </c>
    </row>
    <row r="18" spans="2:23" x14ac:dyDescent="0.25">
      <c r="B18" s="3"/>
      <c r="C18" s="3"/>
      <c r="D18" s="3"/>
      <c r="E18" s="3"/>
      <c r="G18" s="31"/>
      <c r="H18" s="3"/>
      <c r="I18" s="3"/>
      <c r="J18" s="3"/>
      <c r="K18" s="3"/>
      <c r="M18" s="31"/>
      <c r="N18" s="3"/>
      <c r="O18" s="3"/>
      <c r="P18" s="3"/>
      <c r="Q18" s="3"/>
      <c r="S18" s="31"/>
      <c r="T18" s="3"/>
      <c r="U18" s="3"/>
      <c r="V18" s="3"/>
      <c r="W18" s="3"/>
    </row>
    <row r="19" spans="2:23" x14ac:dyDescent="0.25">
      <c r="B19" s="53" t="s">
        <v>29</v>
      </c>
      <c r="C19" s="53"/>
      <c r="D19" s="53"/>
      <c r="E19" s="6">
        <f>COUNTIF(Table3[Weekday],"Sunday")/COUNTIFS(Table3[Weekday],"Sunday",Table3[Match],"Different")</f>
        <v>7.3518518518518521</v>
      </c>
      <c r="G19" s="31"/>
      <c r="H19" s="53" t="s">
        <v>29</v>
      </c>
      <c r="I19" s="53"/>
      <c r="J19" s="53"/>
      <c r="K19" s="6">
        <f>COUNTIF(Table3[Weekday],"Monday")/COUNTIFS(Table3[Weekday],"Monday",Table3[Match],"Different")</f>
        <v>6.5384615384615383</v>
      </c>
      <c r="M19" s="31"/>
      <c r="N19" s="53" t="s">
        <v>29</v>
      </c>
      <c r="O19" s="53"/>
      <c r="P19" s="53"/>
      <c r="Q19" s="6">
        <f>COUNTIF(Table3[Weekday],"Tuesday")/COUNTIFS(Table3[Weekday],"Tuesday",Table3[Match],"Different")</f>
        <v>5.666666666666667</v>
      </c>
      <c r="S19" s="31"/>
      <c r="T19" s="53" t="s">
        <v>29</v>
      </c>
      <c r="U19" s="53"/>
      <c r="V19" s="53"/>
      <c r="W19" s="6">
        <f>COUNTIF(Table3[Weekday],"Wednesday")/COUNTIFS(Table3[Weekday],"Wednesday",Table3[Match],"Different")</f>
        <v>5.625</v>
      </c>
    </row>
    <row r="20" spans="2:23" x14ac:dyDescent="0.25">
      <c r="B20" s="7"/>
      <c r="C20" s="7"/>
      <c r="D20" s="7"/>
      <c r="E20" s="6"/>
      <c r="G20" s="31"/>
      <c r="H20" s="7"/>
      <c r="I20" s="7"/>
      <c r="J20" s="7"/>
      <c r="K20" s="6"/>
      <c r="M20" s="31"/>
      <c r="N20" s="7"/>
      <c r="O20" s="7"/>
      <c r="P20" s="7"/>
      <c r="Q20" s="6"/>
      <c r="S20" s="31"/>
      <c r="T20" s="7"/>
      <c r="U20" s="7"/>
      <c r="V20" s="7"/>
      <c r="W20" s="6"/>
    </row>
    <row r="21" spans="2:23" x14ac:dyDescent="0.25">
      <c r="B21" s="53" t="s">
        <v>31</v>
      </c>
      <c r="C21" s="53"/>
      <c r="D21" s="53"/>
      <c r="E21" s="8">
        <f>AVERAGEIF(Table3[Weekday], "Sunday", Table3[Delivery Fee])</f>
        <v>2.2632241813602016</v>
      </c>
      <c r="G21" s="31"/>
      <c r="H21" s="53" t="s">
        <v>31</v>
      </c>
      <c r="I21" s="53"/>
      <c r="J21" s="53"/>
      <c r="K21" s="8">
        <f>AVERAGEIF(Table3[Weekday], "Monday", Table3[Delivery Fee])</f>
        <v>2.1588235294117646</v>
      </c>
      <c r="M21" s="31"/>
      <c r="N21" s="53" t="s">
        <v>31</v>
      </c>
      <c r="O21" s="53"/>
      <c r="P21" s="53"/>
      <c r="Q21" s="8">
        <f>AVERAGEIF(Table3[Weekday], "Tuesday", Table3[Delivery Fee])</f>
        <v>2.4411764705882355</v>
      </c>
      <c r="S21" s="31"/>
      <c r="T21" s="53" t="s">
        <v>31</v>
      </c>
      <c r="U21" s="53"/>
      <c r="V21" s="53"/>
      <c r="W21" s="8">
        <f>AVERAGEIF(Table3[Weekday], "Wednesday", Table3[Delivery Fee])</f>
        <v>2.4333333333333331</v>
      </c>
    </row>
    <row r="22" spans="2:23" x14ac:dyDescent="0.25">
      <c r="B22" s="36"/>
      <c r="C22" s="36"/>
      <c r="D22" s="36"/>
      <c r="E22" s="8"/>
      <c r="G22" s="31"/>
      <c r="H22" s="36"/>
      <c r="I22" s="36"/>
      <c r="J22" s="36"/>
      <c r="K22" s="8"/>
      <c r="M22" s="31"/>
      <c r="N22" s="36"/>
      <c r="O22" s="36"/>
      <c r="P22" s="36"/>
      <c r="Q22" s="8"/>
      <c r="S22" s="31"/>
      <c r="T22" s="36"/>
      <c r="U22" s="36"/>
      <c r="V22" s="36"/>
      <c r="W22" s="8"/>
    </row>
    <row r="23" spans="2:23" x14ac:dyDescent="0.25">
      <c r="B23" s="54" t="s">
        <v>67</v>
      </c>
      <c r="C23" s="54"/>
      <c r="D23" s="54"/>
      <c r="E23" s="8">
        <f>SUMIF(Table3[Weekday], "Sunday", Table3[Delivery Fee])/COUNTIFS(Table3[Weekday], "Sunday", Table3[Match], "Different")</f>
        <v>16.638888888888889</v>
      </c>
      <c r="G23" s="31"/>
      <c r="H23" s="54" t="s">
        <v>67</v>
      </c>
      <c r="I23" s="54"/>
      <c r="J23" s="54"/>
      <c r="K23" s="8">
        <f>SUMIF(Table3[Weekday], "Monday", Table3[Delivery Fee])/COUNTIFS(Table3[Weekday], "Monday", Table3[Match], "Different")</f>
        <v>14.115384615384615</v>
      </c>
      <c r="M23" s="31"/>
      <c r="N23" s="54" t="s">
        <v>67</v>
      </c>
      <c r="O23" s="54"/>
      <c r="P23" s="54"/>
      <c r="Q23" s="8">
        <f>SUMIF(Table3[Weekday], "Tuesday", Table3[Delivery Fee])/COUNTIFS(Table3[Weekday], "Tuesday", Table3[Match], "Different")</f>
        <v>13.833333333333334</v>
      </c>
      <c r="S23" s="31"/>
      <c r="T23" s="54" t="s">
        <v>67</v>
      </c>
      <c r="U23" s="54"/>
      <c r="V23" s="54"/>
      <c r="W23" s="8">
        <f>SUMIF(Table3[Weekday], "Wednesday", Table3[Delivery Fee])/COUNTIFS(Table3[Weekday], "Wednesday", Table3[Match], "Different")</f>
        <v>13.6875</v>
      </c>
    </row>
    <row r="24" spans="2:23" x14ac:dyDescent="0.25">
      <c r="B24" s="3"/>
      <c r="C24" s="3"/>
      <c r="D24" s="3"/>
      <c r="E24" s="3"/>
      <c r="G24" s="31"/>
      <c r="H24" s="3"/>
      <c r="I24" s="3"/>
      <c r="J24" s="3"/>
      <c r="K24" s="3"/>
      <c r="M24" s="31"/>
      <c r="N24" s="3"/>
      <c r="O24" s="3"/>
      <c r="P24" s="3"/>
      <c r="Q24" s="3"/>
      <c r="S24" s="31"/>
      <c r="T24" s="3"/>
      <c r="U24" s="3"/>
      <c r="V24" s="3"/>
      <c r="W24" s="3"/>
    </row>
    <row r="25" spans="2:23" x14ac:dyDescent="0.25">
      <c r="B25" s="53" t="s">
        <v>52</v>
      </c>
      <c r="C25" s="53"/>
      <c r="D25" s="53"/>
      <c r="E25" s="8">
        <f>E21*E19/'Personal Statistics'!$R$24+'Weekday Statistics'!E17+'Personal Statistics'!$R$26</f>
        <v>20.948222222222224</v>
      </c>
      <c r="G25" s="31"/>
      <c r="H25" s="53" t="s">
        <v>52</v>
      </c>
      <c r="I25" s="53"/>
      <c r="J25" s="53"/>
      <c r="K25" s="8">
        <f>K21*K19/'Personal Statistics'!$R$24+'Weekday Statistics'!K17+'Personal Statistics'!$R$26</f>
        <v>21.066461538461539</v>
      </c>
      <c r="M25" s="31"/>
      <c r="N25" s="53" t="s">
        <v>52</v>
      </c>
      <c r="O25" s="53"/>
      <c r="P25" s="53"/>
      <c r="Q25" s="8">
        <f>Q21*Q19/'Personal Statistics'!$R$24+'Weekday Statistics'!Q17+'Personal Statistics'!$R$26</f>
        <v>19.264000000000003</v>
      </c>
      <c r="S25" s="31"/>
      <c r="T25" s="53" t="s">
        <v>52</v>
      </c>
      <c r="U25" s="53"/>
      <c r="V25" s="53"/>
      <c r="W25" s="8">
        <f>W21*W19/'Personal Statistics'!$R$24+'Weekday Statistics'!W17+'Personal Statistics'!$R$26</f>
        <v>19.813499999999998</v>
      </c>
    </row>
    <row r="26" spans="2:23" x14ac:dyDescent="0.25">
      <c r="B26" s="3"/>
      <c r="C26" s="3"/>
      <c r="D26" s="3"/>
      <c r="E26" s="3"/>
      <c r="G26" s="31"/>
      <c r="H26" s="3"/>
      <c r="I26" s="3"/>
      <c r="J26" s="3"/>
      <c r="K26" s="3"/>
      <c r="M26" s="31"/>
      <c r="N26" s="3"/>
      <c r="O26" s="3"/>
      <c r="P26" s="3"/>
      <c r="Q26" s="3"/>
      <c r="S26" s="31"/>
      <c r="T26" s="3"/>
      <c r="U26" s="3"/>
      <c r="V26" s="3"/>
      <c r="W26" s="3"/>
    </row>
    <row r="27" spans="2:23" x14ac:dyDescent="0.25">
      <c r="B27" s="53" t="s">
        <v>34</v>
      </c>
      <c r="C27" s="53"/>
      <c r="D27" s="53"/>
      <c r="E27" s="8">
        <f>E21*E19+(E17+'Personal Statistics'!$R$26)*'Personal Statistics'!$R$24</f>
        <v>104.74111111111111</v>
      </c>
      <c r="G27" s="31"/>
      <c r="H27" s="53" t="s">
        <v>34</v>
      </c>
      <c r="I27" s="53"/>
      <c r="J27" s="53"/>
      <c r="K27" s="8">
        <f>K21*K19+(K17+'Personal Statistics'!$R$26)*'Personal Statistics'!$R$24</f>
        <v>105.33230769230768</v>
      </c>
      <c r="M27" s="31"/>
      <c r="N27" s="53" t="s">
        <v>34</v>
      </c>
      <c r="O27" s="53"/>
      <c r="P27" s="53"/>
      <c r="Q27" s="8">
        <f>Q21*Q19+(Q17+'Personal Statistics'!$R$26)*'Personal Statistics'!$R$24</f>
        <v>96.32</v>
      </c>
      <c r="S27" s="31"/>
      <c r="T27" s="53" t="s">
        <v>34</v>
      </c>
      <c r="U27" s="53"/>
      <c r="V27" s="53"/>
      <c r="W27" s="8">
        <f>W21*W19+(W17+'Personal Statistics'!$R$26)*'Personal Statistics'!$R$24</f>
        <v>99.067499999999995</v>
      </c>
    </row>
    <row r="28" spans="2:23" x14ac:dyDescent="0.25">
      <c r="B28" s="36"/>
      <c r="C28" s="36"/>
      <c r="D28" s="36"/>
      <c r="E28" s="8"/>
      <c r="G28" s="31"/>
      <c r="H28" s="36"/>
      <c r="I28" s="36"/>
      <c r="J28" s="36"/>
      <c r="K28" s="8"/>
      <c r="M28" s="31"/>
      <c r="N28" s="36"/>
      <c r="O28" s="36"/>
      <c r="P28" s="36"/>
      <c r="Q28" s="8"/>
      <c r="S28" s="31"/>
      <c r="T28" s="36"/>
      <c r="U28" s="36"/>
      <c r="V28" s="36"/>
      <c r="W28" s="8"/>
    </row>
    <row r="29" spans="2:23" x14ac:dyDescent="0.25">
      <c r="B29" s="53" t="s">
        <v>15</v>
      </c>
      <c r="C29" s="53"/>
      <c r="D29" s="53"/>
      <c r="E29" s="45">
        <f>AVERAGEIFS(Table3[Total Delivery Time (Minutes)], Table3[Weekday], "Sunday",Table3[Total Delivery Time (Minutes)], "&lt;&gt;0")</f>
        <v>40.928571428571431</v>
      </c>
      <c r="G29" s="31"/>
      <c r="H29" s="53" t="s">
        <v>15</v>
      </c>
      <c r="I29" s="53"/>
      <c r="J29" s="53"/>
      <c r="K29" s="45">
        <f>AVERAGEIFS(Table3[Total Delivery Time (Minutes)], Table3[Weekday], "Monday",Table3[Total Delivery Time (Minutes)], "&lt;&gt;0")</f>
        <v>42.702380952380949</v>
      </c>
      <c r="M29" s="31"/>
      <c r="N29" s="53" t="s">
        <v>15</v>
      </c>
      <c r="O29" s="53"/>
      <c r="P29" s="53"/>
      <c r="Q29" s="45">
        <f>AVERAGEIFS(Table3[Total Delivery Time (Minutes)], Table3[Weekday], "Tuesday",Table3[Total Delivery Time (Minutes)], "&lt;&gt;0")</f>
        <v>41.647058823529413</v>
      </c>
      <c r="S29" s="31"/>
      <c r="T29" s="53" t="s">
        <v>15</v>
      </c>
      <c r="U29" s="53"/>
      <c r="V29" s="53"/>
      <c r="W29" s="45">
        <f>AVERAGEIFS(Table3[Total Delivery Time (Minutes)], Table3[Weekday], "Wednesday",Table3[Total Delivery Time (Minutes)], "&lt;&gt;0")</f>
        <v>36.363636363636367</v>
      </c>
    </row>
    <row r="30" spans="2:23" x14ac:dyDescent="0.25">
      <c r="G30" s="31"/>
      <c r="M30" s="31"/>
      <c r="S30" s="31"/>
    </row>
    <row r="31" spans="2:23" x14ac:dyDescent="0.25">
      <c r="B31" s="32"/>
      <c r="C31" s="32"/>
      <c r="D31" s="32"/>
      <c r="E31" s="32"/>
      <c r="F31" s="32"/>
      <c r="G31" s="33"/>
      <c r="H31" s="32"/>
      <c r="I31" s="32"/>
      <c r="J31" s="32"/>
      <c r="K31" s="32"/>
      <c r="L31" s="32"/>
      <c r="M31" s="33"/>
      <c r="N31" s="32"/>
      <c r="O31" s="32"/>
      <c r="P31" s="32"/>
      <c r="Q31" s="32"/>
      <c r="R31" s="32"/>
      <c r="S31" s="33"/>
      <c r="T31" s="32"/>
      <c r="U31" s="32"/>
      <c r="V31" s="32"/>
      <c r="W31" s="32"/>
    </row>
    <row r="32" spans="2:23" ht="18.75" x14ac:dyDescent="0.3">
      <c r="B32" s="55" t="s">
        <v>57</v>
      </c>
      <c r="C32" s="55"/>
      <c r="D32" s="55"/>
      <c r="E32" s="55"/>
      <c r="G32" s="31"/>
      <c r="H32" s="55" t="s">
        <v>58</v>
      </c>
      <c r="I32" s="55"/>
      <c r="J32" s="55"/>
      <c r="K32" s="55"/>
      <c r="M32" s="31"/>
      <c r="N32" s="55" t="s">
        <v>59</v>
      </c>
      <c r="O32" s="55"/>
      <c r="P32" s="55"/>
      <c r="Q32" s="55"/>
      <c r="S32" s="31"/>
      <c r="T32" s="55" t="s">
        <v>64</v>
      </c>
      <c r="U32" s="55"/>
      <c r="V32" s="55"/>
      <c r="W32" s="55"/>
    </row>
    <row r="33" spans="2:23" x14ac:dyDescent="0.25">
      <c r="G33" s="31"/>
      <c r="M33" s="31"/>
      <c r="S33" s="31"/>
      <c r="T33" s="3"/>
      <c r="U33" s="3"/>
      <c r="V33" s="3"/>
      <c r="W33" s="3"/>
    </row>
    <row r="34" spans="2:23" x14ac:dyDescent="0.25">
      <c r="B34" s="54" t="s">
        <v>62</v>
      </c>
      <c r="C34" s="54"/>
      <c r="D34" s="54"/>
      <c r="E34">
        <f>COUNTIFS(Table3[Weekday], "Thursday", Table3[Match], "Different")</f>
        <v>2</v>
      </c>
      <c r="G34" s="31"/>
      <c r="H34" s="54" t="s">
        <v>62</v>
      </c>
      <c r="I34" s="54"/>
      <c r="J34" s="54"/>
      <c r="K34">
        <f>COUNTIFS(Table3[Weekday], "Friday", Table3[Match], "Different")</f>
        <v>53</v>
      </c>
      <c r="M34" s="31"/>
      <c r="N34" s="54" t="s">
        <v>62</v>
      </c>
      <c r="O34" s="54"/>
      <c r="P34" s="54"/>
      <c r="Q34">
        <f>COUNTIFS(Table3[Weekday], "Saturday", Table3[Match], "Different")</f>
        <v>53</v>
      </c>
      <c r="S34" s="31"/>
      <c r="T34" s="54" t="s">
        <v>62</v>
      </c>
      <c r="U34" s="54"/>
      <c r="V34" s="54"/>
      <c r="W34">
        <f>COUNTIF(Table3[Match], "Different")</f>
        <v>186</v>
      </c>
    </row>
    <row r="35" spans="2:23" x14ac:dyDescent="0.25">
      <c r="B35" s="34"/>
      <c r="C35" s="34"/>
      <c r="D35" s="34"/>
      <c r="G35" s="31"/>
      <c r="H35" s="34"/>
      <c r="I35" s="34"/>
      <c r="J35" s="34"/>
      <c r="M35" s="31"/>
      <c r="N35" s="34"/>
      <c r="O35" s="34"/>
      <c r="P35" s="34"/>
      <c r="S35" s="31"/>
      <c r="T35" s="34"/>
      <c r="U35" s="34"/>
      <c r="V35" s="34"/>
    </row>
    <row r="36" spans="2:23" x14ac:dyDescent="0.25">
      <c r="B36" s="54" t="s">
        <v>65</v>
      </c>
      <c r="C36" s="54"/>
      <c r="D36" s="54"/>
      <c r="E36" s="35">
        <f>AVERAGEIF(Table3[Weekday], "Thursday", Table3[Cost])</f>
        <v>53.338333333333331</v>
      </c>
      <c r="G36" s="31"/>
      <c r="H36" s="54" t="s">
        <v>65</v>
      </c>
      <c r="I36" s="54"/>
      <c r="J36" s="54"/>
      <c r="K36" s="35">
        <f>AVERAGEIF(Table3[Weekday], "Friday", Table3[Cost])</f>
        <v>42.940490463215205</v>
      </c>
      <c r="M36" s="31"/>
      <c r="N36" s="54" t="s">
        <v>65</v>
      </c>
      <c r="O36" s="54"/>
      <c r="P36" s="54"/>
      <c r="Q36" s="35">
        <f>AVERAGEIF(Table3[Weekday], "Saturday", Table3[Cost])</f>
        <v>42.691616766467064</v>
      </c>
      <c r="S36" s="31"/>
      <c r="T36" s="54" t="s">
        <v>65</v>
      </c>
      <c r="U36" s="54"/>
      <c r="V36" s="54"/>
      <c r="W36" s="35">
        <f>AVERAGE(Table3[Cost])</f>
        <v>41.765939248601114</v>
      </c>
    </row>
    <row r="37" spans="2:23" x14ac:dyDescent="0.25">
      <c r="G37" s="31"/>
      <c r="M37" s="31"/>
      <c r="S37" s="31"/>
    </row>
    <row r="38" spans="2:23" x14ac:dyDescent="0.25">
      <c r="B38" s="53" t="s">
        <v>13</v>
      </c>
      <c r="C38" s="53"/>
      <c r="D38" s="53"/>
      <c r="E38" s="5">
        <f>SUMIF(Table3[Weekday], "Thursday", Table3[Tip])/SUMIF(Table3[Weekday], "Thursday", Table3[Cost])</f>
        <v>0.12645689466612506</v>
      </c>
      <c r="G38" s="31"/>
      <c r="H38" s="53" t="s">
        <v>13</v>
      </c>
      <c r="I38" s="53"/>
      <c r="J38" s="53"/>
      <c r="K38" s="5">
        <f>SUMIF(Table3[Weekday], "Friday", Table3[Tip])/SUMIF(Table3[Weekday], "Friday", Table3[Cost])</f>
        <v>0.17393312841547412</v>
      </c>
      <c r="M38" s="31"/>
      <c r="N38" s="53" t="s">
        <v>13</v>
      </c>
      <c r="O38" s="53"/>
      <c r="P38" s="53"/>
      <c r="Q38" s="5">
        <f>SUMIF(Table3[Weekday], "Saturday", Table3[Tip])/SUMIF(Table3[Weekday], "Saturday", Table3[Cost])</f>
        <v>0.16818430464969489</v>
      </c>
      <c r="S38" s="31"/>
      <c r="T38" s="53" t="s">
        <v>13</v>
      </c>
      <c r="U38" s="53"/>
      <c r="V38" s="53"/>
      <c r="W38" s="5">
        <f>SUM(Table3[Tip])/SUM(Table3[Cost])</f>
        <v>0.17097853574380767</v>
      </c>
    </row>
    <row r="39" spans="2:23" x14ac:dyDescent="0.25">
      <c r="B39" s="7"/>
      <c r="C39" s="7"/>
      <c r="D39" s="7"/>
      <c r="E39" s="3"/>
      <c r="G39" s="31"/>
      <c r="H39" s="7"/>
      <c r="I39" s="7"/>
      <c r="J39" s="7"/>
      <c r="K39" s="3"/>
      <c r="M39" s="31"/>
      <c r="N39" s="7"/>
      <c r="O39" s="7"/>
      <c r="P39" s="7"/>
      <c r="Q39" s="3"/>
      <c r="S39" s="31"/>
      <c r="T39" s="7"/>
      <c r="U39" s="7"/>
      <c r="V39" s="7"/>
      <c r="W39" s="3"/>
    </row>
    <row r="40" spans="2:23" x14ac:dyDescent="0.25">
      <c r="B40" s="53" t="s">
        <v>14</v>
      </c>
      <c r="C40" s="53"/>
      <c r="D40" s="53"/>
      <c r="E40" s="8">
        <f>AVERAGEIF(Table3[Weekday], "Thursday", Table3[Tip])</f>
        <v>6.7450000000000001</v>
      </c>
      <c r="G40" s="31"/>
      <c r="H40" s="53" t="s">
        <v>14</v>
      </c>
      <c r="I40" s="53"/>
      <c r="J40" s="53"/>
      <c r="K40" s="8">
        <f>AVERAGEIF(Table3[Weekday], "Friday", Table3[Tip])</f>
        <v>7.4687738419618519</v>
      </c>
      <c r="M40" s="31"/>
      <c r="N40" s="53" t="s">
        <v>14</v>
      </c>
      <c r="O40" s="53"/>
      <c r="P40" s="53"/>
      <c r="Q40" s="8">
        <f>AVERAGEIF(Table3[Weekday], "Saturday", Table3[Tip])</f>
        <v>7.1800598802395195</v>
      </c>
      <c r="S40" s="31"/>
      <c r="T40" s="53" t="s">
        <v>14</v>
      </c>
      <c r="U40" s="53"/>
      <c r="V40" s="53"/>
      <c r="W40" s="8">
        <f>AVERAGE(Table3[Tip])</f>
        <v>7.1410791366906459</v>
      </c>
    </row>
    <row r="41" spans="2:23" x14ac:dyDescent="0.25">
      <c r="B41" s="3"/>
      <c r="C41" s="3"/>
      <c r="D41" s="3"/>
      <c r="E41" s="3"/>
      <c r="G41" s="31"/>
      <c r="H41" s="3"/>
      <c r="I41" s="3"/>
      <c r="J41" s="3"/>
      <c r="K41" s="3"/>
      <c r="M41" s="31"/>
      <c r="N41" s="3"/>
      <c r="O41" s="3"/>
      <c r="P41" s="3"/>
      <c r="Q41" s="3"/>
      <c r="S41" s="31"/>
      <c r="T41" s="3"/>
      <c r="U41" s="3"/>
      <c r="V41" s="3"/>
      <c r="W41" s="3"/>
    </row>
    <row r="42" spans="2:23" x14ac:dyDescent="0.25">
      <c r="B42" s="53" t="s">
        <v>37</v>
      </c>
      <c r="C42" s="53"/>
      <c r="D42" s="53"/>
      <c r="E42" s="8">
        <f>(SUMIF(Table3[Weekday], "Thursday", Table3[Tip])/COUNTIFS(Table3[Weekday], "Thursday", Table3[Match], "Different"))</f>
        <v>20.234999999999999</v>
      </c>
      <c r="G42" s="31"/>
      <c r="H42" s="53" t="s">
        <v>37</v>
      </c>
      <c r="I42" s="53"/>
      <c r="J42" s="53"/>
      <c r="K42" s="8">
        <f>(SUMIF(Table3[Weekday], "Friday", Table3[Tip])/COUNTIFS(Table3[Weekday], "Friday", Table3[Match], "Different"))</f>
        <v>51.717735849056595</v>
      </c>
      <c r="M42" s="31"/>
      <c r="N42" s="53" t="s">
        <v>37</v>
      </c>
      <c r="O42" s="53"/>
      <c r="P42" s="53"/>
      <c r="Q42" s="8">
        <f>(SUMIF(Table3[Weekday], "Saturday", Table3[Tip])/COUNTIFS(Table3[Weekday], "Saturday", Table3[Match], "Different"))</f>
        <v>45.247924528301873</v>
      </c>
      <c r="S42" s="31"/>
      <c r="T42" s="53" t="s">
        <v>37</v>
      </c>
      <c r="U42" s="53"/>
      <c r="V42" s="53"/>
      <c r="W42" s="8">
        <f>(SUM(Table3[Tip])/SUM(IF(FREQUENCY(Table3[Date],Table3[Date])&gt;0,1)))</f>
        <v>48.029516129032245</v>
      </c>
    </row>
    <row r="43" spans="2:23" x14ac:dyDescent="0.25">
      <c r="B43" s="3"/>
      <c r="C43" s="3"/>
      <c r="D43" s="3"/>
      <c r="E43" s="3"/>
      <c r="G43" s="31"/>
      <c r="H43" s="3"/>
      <c r="I43" s="3"/>
      <c r="J43" s="3"/>
      <c r="K43" s="3"/>
      <c r="M43" s="31"/>
      <c r="N43" s="3"/>
      <c r="O43" s="3"/>
      <c r="P43" s="3"/>
      <c r="Q43" s="3"/>
      <c r="S43" s="31"/>
      <c r="T43" s="3"/>
      <c r="U43" s="3"/>
      <c r="V43" s="3"/>
      <c r="W43" s="3"/>
    </row>
    <row r="44" spans="2:23" x14ac:dyDescent="0.25">
      <c r="B44" s="53" t="s">
        <v>28</v>
      </c>
      <c r="C44" s="53"/>
      <c r="D44" s="53"/>
      <c r="E44" s="8">
        <f>E42/'Personal Statistics'!$R$24</f>
        <v>4.0469999999999997</v>
      </c>
      <c r="G44" s="31"/>
      <c r="H44" s="53" t="s">
        <v>28</v>
      </c>
      <c r="I44" s="53"/>
      <c r="J44" s="53"/>
      <c r="K44" s="8">
        <f>K42/'Personal Statistics'!$R$24</f>
        <v>10.34354716981132</v>
      </c>
      <c r="M44" s="31"/>
      <c r="N44" s="53" t="s">
        <v>28</v>
      </c>
      <c r="O44" s="53"/>
      <c r="P44" s="53"/>
      <c r="Q44" s="8">
        <f>Q42/'Personal Statistics'!$R$24</f>
        <v>9.0495849056603745</v>
      </c>
      <c r="S44" s="31"/>
      <c r="T44" s="53" t="s">
        <v>28</v>
      </c>
      <c r="U44" s="53"/>
      <c r="V44" s="53"/>
      <c r="W44" s="8">
        <f>W42/'Personal Statistics'!$R$24</f>
        <v>9.6059032258064487</v>
      </c>
    </row>
    <row r="45" spans="2:23" x14ac:dyDescent="0.25">
      <c r="B45" s="3"/>
      <c r="C45" s="3"/>
      <c r="D45" s="3"/>
      <c r="E45" s="3"/>
      <c r="G45" s="31"/>
      <c r="H45" s="3"/>
      <c r="I45" s="3"/>
      <c r="J45" s="3"/>
      <c r="K45" s="3"/>
      <c r="M45" s="31"/>
      <c r="N45" s="3"/>
      <c r="O45" s="3"/>
      <c r="P45" s="3"/>
      <c r="Q45" s="3"/>
      <c r="S45" s="31"/>
      <c r="T45" s="3"/>
      <c r="U45" s="3"/>
      <c r="V45" s="3"/>
      <c r="W45" s="3"/>
    </row>
    <row r="46" spans="2:23" x14ac:dyDescent="0.25">
      <c r="B46" s="53" t="s">
        <v>29</v>
      </c>
      <c r="C46" s="53"/>
      <c r="D46" s="53"/>
      <c r="E46" s="6">
        <f>COUNTIF(Table3[Weekday],"Thursday")/COUNTIFS(Table3[Weekday],"Thursday",Table3[Match],"Different")</f>
        <v>3</v>
      </c>
      <c r="G46" s="31"/>
      <c r="H46" s="53" t="s">
        <v>29</v>
      </c>
      <c r="I46" s="53"/>
      <c r="J46" s="53"/>
      <c r="K46" s="6">
        <f>COUNTIF(Table3[Weekday],"Friday")/COUNTIFS(Table3[Weekday],"Friday",Table3[Match],"Different")</f>
        <v>6.9245283018867925</v>
      </c>
      <c r="M46" s="31"/>
      <c r="N46" s="53" t="s">
        <v>29</v>
      </c>
      <c r="O46" s="53"/>
      <c r="P46" s="53"/>
      <c r="Q46" s="6">
        <f>COUNTIF(Table3[Weekday],"Saturday")/COUNTIFS(Table3[Weekday],"Saturday",Table3[Match],"Different")</f>
        <v>6.3018867924528301</v>
      </c>
      <c r="S46" s="31"/>
      <c r="T46" s="53" t="s">
        <v>29</v>
      </c>
      <c r="U46" s="53"/>
      <c r="V46" s="53"/>
      <c r="W46" s="6">
        <f>COUNT(Table3[Order '#])/SUM(IF(FREQUENCY(Table3[Date],Table3[Date])&gt;0,1))</f>
        <v>6.725806451612903</v>
      </c>
    </row>
    <row r="47" spans="2:23" x14ac:dyDescent="0.25">
      <c r="B47" s="7"/>
      <c r="C47" s="7"/>
      <c r="D47" s="7"/>
      <c r="E47" s="6"/>
      <c r="G47" s="31"/>
      <c r="H47" s="7"/>
      <c r="I47" s="7"/>
      <c r="J47" s="7"/>
      <c r="K47" s="6"/>
      <c r="M47" s="31"/>
      <c r="N47" s="7"/>
      <c r="O47" s="7"/>
      <c r="P47" s="7"/>
      <c r="Q47" s="6"/>
      <c r="S47" s="31"/>
      <c r="T47" s="7"/>
      <c r="U47" s="7"/>
      <c r="V47" s="7"/>
      <c r="W47" s="6"/>
    </row>
    <row r="48" spans="2:23" x14ac:dyDescent="0.25">
      <c r="B48" s="53" t="s">
        <v>31</v>
      </c>
      <c r="C48" s="53"/>
      <c r="D48" s="53"/>
      <c r="E48" s="8">
        <f>AVERAGEIF(Table3[Weekday], "Thursday", Table3[Delivery Fee])</f>
        <v>3.25</v>
      </c>
      <c r="G48" s="31"/>
      <c r="H48" s="53" t="s">
        <v>31</v>
      </c>
      <c r="I48" s="53"/>
      <c r="J48" s="53"/>
      <c r="K48" s="8">
        <f>AVERAGEIF(Table3[Weekday], "Friday", Table3[Delivery Fee])</f>
        <v>2.4645776566757491</v>
      </c>
      <c r="M48" s="31"/>
      <c r="N48" s="53" t="s">
        <v>31</v>
      </c>
      <c r="O48" s="53"/>
      <c r="P48" s="53"/>
      <c r="Q48" s="8">
        <f>AVERAGEIF(Table3[Weekday], "Saturday", Table3[Delivery Fee])</f>
        <v>2.30688622754491</v>
      </c>
      <c r="S48" s="31"/>
      <c r="T48" s="53" t="s">
        <v>31</v>
      </c>
      <c r="U48" s="53"/>
      <c r="V48" s="53"/>
      <c r="W48" s="8">
        <f>AVERAGE(Table3[Delivery Fee])</f>
        <v>2.3401278976818545</v>
      </c>
    </row>
    <row r="49" spans="2:23" x14ac:dyDescent="0.25">
      <c r="B49" s="36"/>
      <c r="C49" s="36"/>
      <c r="D49" s="36"/>
      <c r="E49" s="8"/>
      <c r="G49" s="31"/>
      <c r="H49" s="36"/>
      <c r="I49" s="36"/>
      <c r="J49" s="36"/>
      <c r="K49" s="8"/>
      <c r="M49" s="31"/>
      <c r="N49" s="36"/>
      <c r="O49" s="36"/>
      <c r="P49" s="36"/>
      <c r="Q49" s="8"/>
      <c r="S49" s="31"/>
      <c r="T49" s="36"/>
      <c r="U49" s="36"/>
      <c r="V49" s="36"/>
      <c r="W49" s="8"/>
    </row>
    <row r="50" spans="2:23" x14ac:dyDescent="0.25">
      <c r="B50" s="54" t="s">
        <v>67</v>
      </c>
      <c r="C50" s="54"/>
      <c r="D50" s="54"/>
      <c r="E50" s="8">
        <f>SUMIF(Table3[Weekday], "Thursday", Table3[Delivery Fee])/COUNTIFS(Table3[Weekday], "Thursday", Table3[Match], "Different")</f>
        <v>9.75</v>
      </c>
      <c r="G50" s="31"/>
      <c r="H50" s="54" t="s">
        <v>67</v>
      </c>
      <c r="I50" s="54"/>
      <c r="J50" s="54"/>
      <c r="K50" s="8">
        <f>SUMIF(Table3[Weekday], "Friday", Table3[Delivery Fee])/COUNTIFS(Table3[Weekday], "Friday", Table3[Match], "Different")</f>
        <v>17.066037735849058</v>
      </c>
      <c r="M50" s="31"/>
      <c r="N50" s="54" t="s">
        <v>67</v>
      </c>
      <c r="O50" s="54"/>
      <c r="P50" s="54"/>
      <c r="Q50" s="8">
        <f>SUMIF(Table3[Weekday], "Saturday", Table3[Delivery Fee])/COUNTIFS(Table3[Weekday], "Saturday", Table3[Match], "Different")</f>
        <v>14.537735849056604</v>
      </c>
      <c r="S50" s="31"/>
      <c r="T50" s="54" t="s">
        <v>67</v>
      </c>
      <c r="U50" s="54"/>
      <c r="V50" s="54"/>
      <c r="W50" s="8">
        <f>SUM(Table3[Delivery Fee])/COUNTIF(Table3[Match], "Different")</f>
        <v>15.739247311827956</v>
      </c>
    </row>
    <row r="51" spans="2:23" x14ac:dyDescent="0.25">
      <c r="B51" s="3"/>
      <c r="C51" s="3"/>
      <c r="D51" s="3"/>
      <c r="E51" s="3"/>
      <c r="G51" s="31"/>
      <c r="H51" s="3"/>
      <c r="I51" s="3"/>
      <c r="J51" s="3"/>
      <c r="K51" s="3"/>
      <c r="M51" s="31"/>
      <c r="N51" s="3"/>
      <c r="O51" s="3"/>
      <c r="P51" s="3"/>
      <c r="Q51" s="3"/>
      <c r="S51" s="31"/>
      <c r="T51" s="3"/>
      <c r="U51" s="3"/>
      <c r="V51" s="3"/>
      <c r="W51" s="3"/>
    </row>
    <row r="52" spans="2:23" x14ac:dyDescent="0.25">
      <c r="B52" s="53" t="s">
        <v>52</v>
      </c>
      <c r="C52" s="53"/>
      <c r="D52" s="53"/>
      <c r="E52" s="8">
        <f>E48*E46/'Personal Statistics'!$R$24+'Weekday Statistics'!E44+'Personal Statistics'!$R$26</f>
        <v>13.997</v>
      </c>
      <c r="G52" s="31"/>
      <c r="H52" s="53" t="s">
        <v>52</v>
      </c>
      <c r="I52" s="53"/>
      <c r="J52" s="53"/>
      <c r="K52" s="8">
        <f>K48*K46/'Personal Statistics'!$R$24+'Weekday Statistics'!K44+'Personal Statistics'!$R$26</f>
        <v>21.756754716981131</v>
      </c>
      <c r="M52" s="31"/>
      <c r="N52" s="53" t="s">
        <v>52</v>
      </c>
      <c r="O52" s="53"/>
      <c r="P52" s="53"/>
      <c r="Q52" s="8">
        <f>Q48*Q46/'Personal Statistics'!$R$24+'Weekday Statistics'!Q44+'Personal Statistics'!$R$26</f>
        <v>19.957132075471694</v>
      </c>
      <c r="S52" s="31"/>
      <c r="T52" s="53" t="s">
        <v>52</v>
      </c>
      <c r="U52" s="53"/>
      <c r="V52" s="53"/>
      <c r="W52" s="8">
        <f>W48*W46/'Personal Statistics'!$R$24+'Weekday Statistics'!Q44+'Personal Statistics'!$R$26</f>
        <v>20.197434368025966</v>
      </c>
    </row>
    <row r="53" spans="2:23" x14ac:dyDescent="0.25">
      <c r="B53" s="3"/>
      <c r="C53" s="3"/>
      <c r="D53" s="3"/>
      <c r="E53" s="3"/>
      <c r="G53" s="31"/>
      <c r="H53" s="3"/>
      <c r="I53" s="3"/>
      <c r="J53" s="3"/>
      <c r="K53" s="3"/>
      <c r="M53" s="31"/>
      <c r="N53" s="3"/>
      <c r="O53" s="3"/>
      <c r="P53" s="3"/>
      <c r="Q53" s="3"/>
      <c r="S53" s="31"/>
      <c r="T53" s="3"/>
      <c r="U53" s="3"/>
      <c r="V53" s="3"/>
      <c r="W53" s="3"/>
    </row>
    <row r="54" spans="2:23" x14ac:dyDescent="0.25">
      <c r="B54" s="53" t="s">
        <v>34</v>
      </c>
      <c r="C54" s="53"/>
      <c r="D54" s="53"/>
      <c r="E54" s="8">
        <f>E48*E46+(E44+'Personal Statistics'!$R$26)*'Personal Statistics'!$R$24</f>
        <v>69.984999999999999</v>
      </c>
      <c r="G54" s="31"/>
      <c r="H54" s="53" t="s">
        <v>34</v>
      </c>
      <c r="I54" s="53"/>
      <c r="J54" s="53"/>
      <c r="K54" s="8">
        <f>K48*K46+(K44+'Personal Statistics'!$R$26)*'Personal Statistics'!$R$24</f>
        <v>108.78377358490565</v>
      </c>
      <c r="M54" s="31"/>
      <c r="N54" s="53" t="s">
        <v>34</v>
      </c>
      <c r="O54" s="53"/>
      <c r="P54" s="53"/>
      <c r="Q54" s="8">
        <f>Q48*Q46+(Q44+'Personal Statistics'!$R$26)*'Personal Statistics'!$R$24</f>
        <v>99.785660377358468</v>
      </c>
      <c r="S54" s="31"/>
      <c r="T54" s="53" t="s">
        <v>34</v>
      </c>
      <c r="U54" s="53"/>
      <c r="V54" s="53"/>
      <c r="W54" s="8">
        <f>W48*W46+(W44+'Personal Statistics'!$R$26)*'Personal Statistics'!$R$24</f>
        <v>103.76876344086021</v>
      </c>
    </row>
    <row r="55" spans="2:23" x14ac:dyDescent="0.25">
      <c r="B55" s="36"/>
      <c r="C55" s="36"/>
      <c r="D55" s="36"/>
      <c r="E55" s="8"/>
      <c r="G55" s="31"/>
      <c r="H55" s="36"/>
      <c r="I55" s="36"/>
      <c r="J55" s="36"/>
      <c r="K55" s="8"/>
      <c r="M55" s="31"/>
      <c r="N55" s="36"/>
      <c r="O55" s="36"/>
      <c r="P55" s="36"/>
      <c r="Q55" s="8"/>
      <c r="S55" s="31"/>
      <c r="T55" s="36"/>
      <c r="U55" s="36"/>
      <c r="V55" s="36"/>
      <c r="W55" s="8"/>
    </row>
    <row r="56" spans="2:23" x14ac:dyDescent="0.25">
      <c r="B56" s="53" t="s">
        <v>15</v>
      </c>
      <c r="C56" s="53"/>
      <c r="D56" s="53"/>
      <c r="E56" s="45">
        <f>AVERAGEIFS(Table3[Total Delivery Time (Minutes)], Table3[Weekday], "Thursday",Table3[Total Delivery Time (Minutes)], "&lt;&gt;0")</f>
        <v>52.166666666666664</v>
      </c>
      <c r="G56" s="31"/>
      <c r="H56" s="53" t="s">
        <v>15</v>
      </c>
      <c r="I56" s="53"/>
      <c r="J56" s="53"/>
      <c r="K56" s="45">
        <f>AVERAGEIFS(Table3[Total Delivery Time (Minutes)], Table3[Weekday], "Friday",Table3[Total Delivery Time (Minutes)], "&lt;&gt;0")</f>
        <v>43.237142857142857</v>
      </c>
      <c r="M56" s="31"/>
      <c r="N56" s="53" t="s">
        <v>15</v>
      </c>
      <c r="O56" s="53"/>
      <c r="P56" s="53"/>
      <c r="Q56" s="45">
        <f>AVERAGEIFS(Table3[Total Delivery Time (Minutes)], Table3[Weekday], "Saturday",Table3[Total Delivery Time (Minutes)], "&lt;&gt;0")</f>
        <v>40.746913580246911</v>
      </c>
      <c r="S56" s="31"/>
      <c r="T56" s="54" t="s">
        <v>15</v>
      </c>
      <c r="U56" s="53"/>
      <c r="V56" s="53"/>
      <c r="W56" s="45">
        <f xml:space="preserve"> AVERAGEIF(Table3[Total Delivery Time (Minutes)], "&lt;&gt;0",Table3[Total Delivery Time (Minutes)])</f>
        <v>41.566967953985213</v>
      </c>
    </row>
  </sheetData>
  <mergeCells count="105">
    <mergeCell ref="B29:D29"/>
    <mergeCell ref="H29:J29"/>
    <mergeCell ref="N29:P29"/>
    <mergeCell ref="T29:V29"/>
    <mergeCell ref="B56:D56"/>
    <mergeCell ref="H56:J56"/>
    <mergeCell ref="N56:P56"/>
    <mergeCell ref="T56:V56"/>
    <mergeCell ref="B50:D50"/>
    <mergeCell ref="H50:J50"/>
    <mergeCell ref="N50:P50"/>
    <mergeCell ref="T50:V50"/>
    <mergeCell ref="B32:E32"/>
    <mergeCell ref="H32:K32"/>
    <mergeCell ref="N32:Q32"/>
    <mergeCell ref="B34:D34"/>
    <mergeCell ref="H34:J34"/>
    <mergeCell ref="N34:P34"/>
    <mergeCell ref="T44:V44"/>
    <mergeCell ref="H38:J38"/>
    <mergeCell ref="H40:J40"/>
    <mergeCell ref="H42:J42"/>
    <mergeCell ref="H44:J44"/>
    <mergeCell ref="B38:D38"/>
    <mergeCell ref="T15:V15"/>
    <mergeCell ref="T17:V17"/>
    <mergeCell ref="T19:V19"/>
    <mergeCell ref="B5:E5"/>
    <mergeCell ref="N5:Q5"/>
    <mergeCell ref="H5:K5"/>
    <mergeCell ref="T5:W5"/>
    <mergeCell ref="T7:V7"/>
    <mergeCell ref="T9:V9"/>
    <mergeCell ref="T11:V11"/>
    <mergeCell ref="T13:V13"/>
    <mergeCell ref="B7:D7"/>
    <mergeCell ref="H7:J7"/>
    <mergeCell ref="N7:P7"/>
    <mergeCell ref="H9:J9"/>
    <mergeCell ref="N9:P9"/>
    <mergeCell ref="B11:D11"/>
    <mergeCell ref="H11:J11"/>
    <mergeCell ref="H13:J13"/>
    <mergeCell ref="H15:J15"/>
    <mergeCell ref="H17:J17"/>
    <mergeCell ref="H19:J19"/>
    <mergeCell ref="B13:D13"/>
    <mergeCell ref="B15:D15"/>
    <mergeCell ref="B27:D27"/>
    <mergeCell ref="B9:D9"/>
    <mergeCell ref="N21:P21"/>
    <mergeCell ref="N25:P25"/>
    <mergeCell ref="N27:P27"/>
    <mergeCell ref="N11:P11"/>
    <mergeCell ref="N13:P13"/>
    <mergeCell ref="N15:P15"/>
    <mergeCell ref="N17:P17"/>
    <mergeCell ref="N19:P19"/>
    <mergeCell ref="B19:D19"/>
    <mergeCell ref="B21:D21"/>
    <mergeCell ref="B23:D23"/>
    <mergeCell ref="H23:J23"/>
    <mergeCell ref="N23:P23"/>
    <mergeCell ref="H21:J21"/>
    <mergeCell ref="H25:J25"/>
    <mergeCell ref="H27:J27"/>
    <mergeCell ref="B17:D17"/>
    <mergeCell ref="B25:D25"/>
    <mergeCell ref="B36:D36"/>
    <mergeCell ref="H36:J36"/>
    <mergeCell ref="N36:P36"/>
    <mergeCell ref="N46:P46"/>
    <mergeCell ref="N48:P48"/>
    <mergeCell ref="T36:V36"/>
    <mergeCell ref="B40:D40"/>
    <mergeCell ref="B42:D42"/>
    <mergeCell ref="B44:D44"/>
    <mergeCell ref="N38:P38"/>
    <mergeCell ref="N40:P40"/>
    <mergeCell ref="N42:P42"/>
    <mergeCell ref="N44:P44"/>
    <mergeCell ref="B1:W3"/>
    <mergeCell ref="T32:W32"/>
    <mergeCell ref="T21:V21"/>
    <mergeCell ref="T25:V25"/>
    <mergeCell ref="T27:V27"/>
    <mergeCell ref="T34:V34"/>
    <mergeCell ref="T23:V23"/>
    <mergeCell ref="T54:V54"/>
    <mergeCell ref="N52:P52"/>
    <mergeCell ref="N54:P54"/>
    <mergeCell ref="B54:D54"/>
    <mergeCell ref="H46:J46"/>
    <mergeCell ref="H48:J48"/>
    <mergeCell ref="H52:J52"/>
    <mergeCell ref="H54:J54"/>
    <mergeCell ref="B46:D46"/>
    <mergeCell ref="T38:V38"/>
    <mergeCell ref="T40:V40"/>
    <mergeCell ref="T42:V42"/>
    <mergeCell ref="B48:D48"/>
    <mergeCell ref="B52:D52"/>
    <mergeCell ref="T46:V46"/>
    <mergeCell ref="T48:V48"/>
    <mergeCell ref="T52:V52"/>
  </mergeCells>
  <printOptions horizontalCentered="1"/>
  <pageMargins left="0.7" right="0.7" top="0.75" bottom="0.75" header="0.3" footer="0.3"/>
  <pageSetup scale="5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1F95615-3942-4807-A06A-E8ABF3AC6AA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211340D9-E895-4491-BECD-A8FD8949E1F2}">
  <ds:schemaRefs>
    <ds:schemaRef ds:uri="http://microsoft.data.visualization.engine.tours/1.0"/>
    <ds:schemaRef ds:uri="http://www.w3.org/2000/xmlns/"/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369ACD13-EBFA-4A52-A67A-DAFF35B2B613}">
  <ds:schemaRefs>
    <ds:schemaRef ds:uri="http://microsoft.data.visualization.Client.Excel.CustomMapList/1.0"/>
    <ds:schemaRef ds:uri="http://www.w3.org/2000/xmlns/"/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421F84C7-ED2D-4358-9B03-C0F9C6810755}">
  <ds:schemaRefs>
    <ds:schemaRef ds:uri="http://microsoft.data.visualization.engine.tours/1.0"/>
    <ds:schemaRef ds:uri="http://www.w3.org/2000/xmlns/"/>
    <ds:schemaRef ds:uri="http://www.w3.org/2001/XMLSchema"/>
  </ds:schemaRefs>
</ds:datastoreItem>
</file>

<file path=customXml/itemProps5.xml><?xml version="1.0" encoding="utf-8"?>
<ds:datastoreItem xmlns:ds="http://schemas.openxmlformats.org/officeDocument/2006/customXml" ds:itemID="{3043F8CC-987C-4080-991C-922ABC4D76E0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353178C0-CE2D-4752-AC75-0998D8B1D069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Data</vt:lpstr>
      <vt:lpstr>Pivot Tables</vt:lpstr>
      <vt:lpstr>Charts</vt:lpstr>
      <vt:lpstr>Power Map</vt:lpstr>
      <vt:lpstr>Personal Statistics</vt:lpstr>
      <vt:lpstr>Weekday Statistics</vt:lpstr>
      <vt:lpstr>DefChoice</vt:lpstr>
      <vt:lpstr>DefCity</vt:lpstr>
      <vt:lpstr>DefCommunity</vt:lpstr>
      <vt:lpstr>DefDeliveryFee</vt:lpstr>
      <vt:lpstr>DefHousing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Short</dc:creator>
  <cp:lastModifiedBy>Daniel Short</cp:lastModifiedBy>
  <cp:lastPrinted>2023-07-12T17:19:08Z</cp:lastPrinted>
  <dcterms:created xsi:type="dcterms:W3CDTF">2017-07-06T02:21:17Z</dcterms:created>
  <dcterms:modified xsi:type="dcterms:W3CDTF">2023-07-12T17:22:26Z</dcterms:modified>
</cp:coreProperties>
</file>